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bmore-my.sharepoint.com/personal/jsaunders_baltimorecity_gov/Documents/Documents/Website Updates/Real Estate/"/>
    </mc:Choice>
  </mc:AlternateContent>
  <bookViews>
    <workbookView xWindow="-120" yWindow="-120" windowWidth="20730" windowHeight="11160"/>
  </bookViews>
  <sheets>
    <sheet name="07-20-2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C3" i="1"/>
  <c r="D3" i="1"/>
  <c r="E3" i="1"/>
  <c r="A4" i="1"/>
  <c r="C4" i="1"/>
  <c r="D4" i="1"/>
  <c r="E4" i="1"/>
  <c r="A5" i="1"/>
  <c r="C5" i="1"/>
  <c r="D5" i="1"/>
  <c r="E5" i="1"/>
  <c r="A6" i="1"/>
  <c r="C6" i="1"/>
  <c r="D6" i="1"/>
  <c r="E6" i="1"/>
  <c r="A7" i="1"/>
  <c r="C7" i="1"/>
  <c r="D7" i="1"/>
  <c r="E7" i="1"/>
  <c r="A8" i="1"/>
  <c r="C8" i="1"/>
  <c r="D8" i="1"/>
  <c r="E8" i="1"/>
  <c r="A9" i="1"/>
  <c r="C9" i="1"/>
  <c r="D9" i="1"/>
  <c r="E9" i="1"/>
  <c r="A10" i="1"/>
  <c r="C10" i="1"/>
  <c r="D10" i="1"/>
  <c r="E10" i="1"/>
  <c r="A11" i="1"/>
  <c r="C11" i="1"/>
  <c r="D11" i="1"/>
  <c r="E11" i="1"/>
  <c r="A12" i="1"/>
  <c r="C12" i="1"/>
  <c r="D12" i="1"/>
  <c r="E12" i="1"/>
  <c r="A13" i="1"/>
  <c r="C13" i="1"/>
  <c r="D13" i="1"/>
  <c r="E13" i="1"/>
  <c r="A14" i="1"/>
  <c r="C14" i="1"/>
  <c r="D14" i="1"/>
  <c r="E14" i="1"/>
  <c r="A15" i="1"/>
  <c r="C15" i="1"/>
  <c r="D15" i="1"/>
  <c r="E15" i="1"/>
  <c r="A16" i="1"/>
  <c r="C16" i="1"/>
  <c r="D16" i="1"/>
  <c r="E16" i="1"/>
  <c r="A17" i="1"/>
  <c r="C17" i="1"/>
  <c r="D17" i="1"/>
  <c r="E17" i="1"/>
  <c r="A18" i="1"/>
  <c r="C18" i="1"/>
  <c r="D18" i="1"/>
  <c r="E18" i="1"/>
  <c r="A19" i="1"/>
  <c r="C19" i="1"/>
  <c r="D19" i="1"/>
  <c r="E19" i="1"/>
  <c r="A20" i="1"/>
  <c r="C20" i="1"/>
  <c r="D20" i="1"/>
  <c r="E20" i="1"/>
  <c r="A21" i="1"/>
  <c r="C21" i="1"/>
  <c r="D21" i="1"/>
  <c r="E21" i="1"/>
  <c r="A22" i="1"/>
  <c r="C22" i="1"/>
  <c r="D22" i="1"/>
  <c r="E22" i="1"/>
  <c r="A23" i="1"/>
  <c r="C23" i="1"/>
  <c r="D23" i="1"/>
  <c r="E23" i="1"/>
  <c r="A24" i="1"/>
  <c r="C24" i="1"/>
  <c r="D24" i="1"/>
  <c r="E24" i="1"/>
  <c r="A25" i="1"/>
  <c r="C25" i="1"/>
  <c r="D25" i="1"/>
  <c r="E25" i="1"/>
  <c r="A26" i="1"/>
  <c r="C26" i="1"/>
  <c r="D26" i="1"/>
  <c r="E26" i="1"/>
  <c r="A27" i="1"/>
  <c r="C27" i="1"/>
  <c r="D27" i="1"/>
  <c r="E27" i="1"/>
  <c r="A28" i="1"/>
  <c r="C28" i="1"/>
  <c r="D28" i="1"/>
  <c r="E28" i="1"/>
  <c r="A29" i="1"/>
  <c r="C29" i="1"/>
  <c r="D29" i="1"/>
  <c r="E29" i="1"/>
  <c r="A30" i="1"/>
  <c r="C30" i="1"/>
  <c r="D30" i="1"/>
  <c r="E30" i="1"/>
  <c r="A31" i="1"/>
  <c r="C31" i="1"/>
  <c r="D31" i="1"/>
  <c r="E31" i="1"/>
  <c r="A32" i="1"/>
  <c r="C32" i="1"/>
  <c r="D32" i="1"/>
  <c r="E32" i="1"/>
  <c r="A33" i="1"/>
  <c r="C33" i="1"/>
  <c r="D33" i="1"/>
  <c r="E33" i="1"/>
  <c r="A34" i="1"/>
  <c r="C34" i="1"/>
  <c r="D34" i="1"/>
  <c r="E34" i="1"/>
  <c r="A35" i="1"/>
  <c r="C35" i="1"/>
  <c r="D35" i="1"/>
  <c r="E35" i="1"/>
  <c r="A36" i="1"/>
  <c r="C36" i="1"/>
  <c r="D36" i="1"/>
  <c r="E36" i="1"/>
  <c r="A37" i="1"/>
  <c r="C37" i="1"/>
  <c r="D37" i="1"/>
  <c r="E37" i="1"/>
  <c r="A38" i="1"/>
  <c r="C38" i="1"/>
  <c r="D38" i="1"/>
  <c r="E38" i="1"/>
  <c r="A39" i="1"/>
  <c r="C39" i="1"/>
  <c r="D39" i="1"/>
  <c r="E39" i="1"/>
  <c r="A40" i="1"/>
  <c r="C40" i="1"/>
  <c r="D40" i="1"/>
  <c r="E40" i="1"/>
  <c r="A41" i="1"/>
  <c r="C41" i="1"/>
  <c r="D41" i="1"/>
  <c r="E41" i="1"/>
  <c r="A42" i="1"/>
  <c r="C42" i="1"/>
  <c r="D42" i="1"/>
  <c r="E42" i="1"/>
  <c r="A43" i="1"/>
  <c r="C43" i="1"/>
  <c r="D43" i="1"/>
  <c r="E43" i="1"/>
  <c r="A44" i="1"/>
  <c r="C44" i="1"/>
  <c r="D44" i="1"/>
  <c r="E44" i="1"/>
  <c r="A45" i="1"/>
  <c r="C45" i="1"/>
  <c r="D45" i="1"/>
  <c r="E45" i="1"/>
  <c r="A46" i="1"/>
  <c r="C46" i="1"/>
  <c r="D46" i="1"/>
  <c r="E46" i="1"/>
  <c r="A47" i="1"/>
  <c r="C47" i="1"/>
  <c r="D47" i="1"/>
  <c r="E47" i="1"/>
  <c r="A48" i="1"/>
  <c r="C48" i="1"/>
  <c r="D48" i="1"/>
  <c r="E48" i="1"/>
  <c r="A49" i="1"/>
  <c r="C49" i="1"/>
  <c r="D49" i="1"/>
  <c r="E49" i="1"/>
  <c r="A50" i="1"/>
  <c r="C50" i="1"/>
  <c r="D50" i="1"/>
  <c r="E50" i="1"/>
  <c r="A51" i="1"/>
  <c r="C51" i="1"/>
  <c r="D51" i="1"/>
  <c r="E51" i="1"/>
  <c r="A52" i="1"/>
  <c r="C52" i="1"/>
  <c r="D52" i="1"/>
  <c r="E52" i="1"/>
  <c r="A53" i="1"/>
  <c r="C53" i="1"/>
  <c r="D53" i="1"/>
  <c r="E53" i="1"/>
  <c r="A54" i="1"/>
  <c r="C54" i="1"/>
  <c r="D54" i="1"/>
  <c r="E54" i="1"/>
  <c r="A55" i="1"/>
  <c r="C55" i="1"/>
  <c r="D55" i="1"/>
  <c r="E55" i="1"/>
  <c r="A56" i="1"/>
  <c r="C56" i="1"/>
  <c r="D56" i="1"/>
  <c r="E56" i="1"/>
  <c r="A57" i="1"/>
  <c r="C57" i="1"/>
  <c r="D57" i="1"/>
  <c r="E57" i="1"/>
  <c r="A58" i="1"/>
  <c r="C58" i="1"/>
  <c r="D58" i="1"/>
  <c r="E58" i="1"/>
  <c r="A59" i="1"/>
  <c r="C59" i="1"/>
  <c r="D59" i="1"/>
  <c r="E59" i="1"/>
  <c r="A60" i="1"/>
  <c r="C60" i="1"/>
  <c r="D60" i="1"/>
  <c r="E60" i="1"/>
  <c r="A61" i="1"/>
  <c r="C61" i="1"/>
  <c r="D61" i="1"/>
  <c r="E61" i="1"/>
  <c r="A62" i="1"/>
  <c r="C62" i="1"/>
  <c r="D62" i="1"/>
  <c r="E62" i="1"/>
  <c r="A63" i="1"/>
  <c r="C63" i="1"/>
  <c r="D63" i="1"/>
  <c r="E63" i="1"/>
  <c r="A64" i="1"/>
  <c r="C64" i="1"/>
  <c r="D64" i="1"/>
  <c r="E64" i="1"/>
  <c r="A65" i="1"/>
  <c r="C65" i="1"/>
  <c r="D65" i="1"/>
  <c r="E65" i="1"/>
  <c r="A66" i="1"/>
  <c r="C66" i="1"/>
  <c r="D66" i="1"/>
  <c r="E66" i="1"/>
  <c r="A67" i="1"/>
  <c r="C67" i="1"/>
  <c r="D67" i="1"/>
  <c r="E67" i="1"/>
  <c r="A68" i="1"/>
  <c r="C68" i="1"/>
  <c r="D68" i="1"/>
  <c r="E68" i="1"/>
  <c r="A69" i="1"/>
  <c r="C69" i="1"/>
  <c r="D69" i="1"/>
  <c r="E69" i="1"/>
  <c r="A70" i="1"/>
  <c r="C70" i="1"/>
  <c r="D70" i="1"/>
  <c r="E70" i="1"/>
  <c r="A71" i="1"/>
  <c r="C71" i="1"/>
  <c r="D71" i="1"/>
  <c r="E71" i="1"/>
  <c r="A72" i="1"/>
  <c r="C72" i="1"/>
  <c r="D72" i="1"/>
  <c r="E72" i="1"/>
  <c r="A73" i="1"/>
  <c r="C73" i="1"/>
  <c r="D73" i="1"/>
  <c r="E73" i="1"/>
  <c r="A74" i="1"/>
  <c r="C74" i="1"/>
  <c r="D74" i="1"/>
  <c r="E74" i="1"/>
  <c r="A75" i="1"/>
  <c r="C75" i="1"/>
  <c r="D75" i="1"/>
  <c r="E75" i="1"/>
  <c r="A76" i="1"/>
  <c r="C76" i="1"/>
  <c r="D76" i="1"/>
  <c r="E76" i="1"/>
  <c r="A77" i="1"/>
  <c r="C77" i="1"/>
  <c r="D77" i="1"/>
  <c r="E77" i="1"/>
  <c r="A78" i="1"/>
  <c r="C78" i="1"/>
  <c r="D78" i="1"/>
  <c r="E78" i="1"/>
  <c r="A79" i="1"/>
  <c r="C79" i="1"/>
  <c r="D79" i="1"/>
  <c r="E79" i="1"/>
  <c r="A80" i="1"/>
  <c r="C80" i="1"/>
  <c r="D80" i="1"/>
  <c r="E80" i="1"/>
  <c r="A81" i="1"/>
  <c r="C81" i="1"/>
  <c r="D81" i="1"/>
  <c r="E81" i="1"/>
  <c r="A82" i="1"/>
  <c r="C82" i="1"/>
  <c r="D82" i="1"/>
  <c r="E82" i="1"/>
  <c r="A83" i="1"/>
  <c r="C83" i="1"/>
  <c r="D83" i="1"/>
  <c r="E83" i="1"/>
  <c r="A84" i="1"/>
  <c r="C84" i="1"/>
  <c r="D84" i="1"/>
  <c r="E84" i="1"/>
  <c r="A85" i="1"/>
  <c r="C85" i="1"/>
  <c r="D85" i="1"/>
  <c r="E85" i="1"/>
  <c r="A86" i="1"/>
  <c r="C86" i="1"/>
  <c r="D86" i="1"/>
  <c r="E86" i="1"/>
  <c r="A87" i="1"/>
  <c r="C87" i="1"/>
  <c r="D87" i="1"/>
  <c r="E87" i="1"/>
  <c r="A88" i="1"/>
  <c r="C88" i="1"/>
  <c r="D88" i="1"/>
  <c r="E88" i="1"/>
  <c r="A89" i="1"/>
  <c r="C89" i="1"/>
  <c r="D89" i="1"/>
  <c r="E89" i="1"/>
  <c r="A90" i="1"/>
  <c r="C90" i="1"/>
  <c r="D90" i="1"/>
  <c r="E90" i="1"/>
  <c r="A91" i="1"/>
  <c r="C91" i="1"/>
  <c r="D91" i="1"/>
  <c r="E91" i="1"/>
  <c r="A92" i="1"/>
  <c r="C92" i="1"/>
  <c r="D92" i="1"/>
  <c r="E92" i="1"/>
  <c r="A93" i="1"/>
  <c r="C93" i="1"/>
  <c r="D93" i="1"/>
  <c r="E93" i="1"/>
  <c r="A94" i="1"/>
  <c r="C94" i="1"/>
  <c r="D94" i="1"/>
  <c r="E94" i="1"/>
  <c r="A95" i="1"/>
  <c r="C95" i="1"/>
  <c r="D95" i="1"/>
  <c r="E95" i="1"/>
  <c r="A96" i="1"/>
  <c r="C96" i="1"/>
  <c r="D96" i="1"/>
  <c r="E96" i="1"/>
  <c r="A97" i="1"/>
  <c r="C97" i="1"/>
  <c r="D97" i="1"/>
  <c r="E97" i="1"/>
  <c r="A98" i="1"/>
  <c r="C98" i="1"/>
  <c r="D98" i="1"/>
  <c r="E98" i="1"/>
  <c r="A99" i="1"/>
  <c r="C99" i="1"/>
  <c r="D99" i="1"/>
  <c r="E99" i="1"/>
  <c r="A100" i="1"/>
  <c r="C100" i="1"/>
  <c r="D100" i="1"/>
  <c r="E100" i="1"/>
  <c r="A101" i="1"/>
  <c r="C101" i="1"/>
  <c r="D101" i="1"/>
  <c r="E101" i="1"/>
  <c r="A102" i="1"/>
  <c r="C102" i="1"/>
  <c r="D102" i="1"/>
  <c r="E102" i="1"/>
  <c r="A103" i="1"/>
  <c r="C103" i="1"/>
  <c r="D103" i="1"/>
  <c r="E103" i="1"/>
  <c r="A104" i="1"/>
  <c r="C104" i="1"/>
  <c r="D104" i="1"/>
  <c r="E104" i="1"/>
  <c r="A105" i="1"/>
  <c r="C105" i="1"/>
  <c r="D105" i="1"/>
  <c r="E105" i="1"/>
  <c r="A106" i="1"/>
  <c r="C106" i="1"/>
  <c r="D106" i="1"/>
  <c r="E106" i="1"/>
  <c r="A107" i="1"/>
  <c r="C107" i="1"/>
  <c r="D107" i="1"/>
  <c r="E107" i="1"/>
  <c r="A108" i="1"/>
  <c r="C108" i="1"/>
  <c r="D108" i="1"/>
  <c r="E108" i="1"/>
  <c r="A109" i="1"/>
  <c r="C109" i="1"/>
  <c r="D109" i="1"/>
  <c r="E109" i="1"/>
  <c r="A110" i="1"/>
  <c r="C110" i="1"/>
  <c r="D110" i="1"/>
  <c r="E110" i="1"/>
  <c r="A111" i="1"/>
  <c r="C111" i="1"/>
  <c r="D111" i="1"/>
  <c r="E111" i="1"/>
  <c r="A112" i="1"/>
  <c r="C112" i="1"/>
  <c r="D112" i="1"/>
  <c r="E112" i="1"/>
  <c r="A113" i="1"/>
  <c r="C113" i="1"/>
  <c r="D113" i="1"/>
  <c r="E113" i="1"/>
  <c r="A114" i="1"/>
  <c r="C114" i="1"/>
  <c r="D114" i="1"/>
  <c r="E114" i="1"/>
  <c r="A115" i="1"/>
  <c r="C115" i="1"/>
  <c r="D115" i="1"/>
  <c r="E115" i="1"/>
  <c r="A116" i="1"/>
  <c r="C116" i="1"/>
  <c r="D116" i="1"/>
  <c r="E116" i="1"/>
  <c r="A117" i="1"/>
  <c r="C117" i="1"/>
  <c r="D117" i="1"/>
  <c r="E117" i="1"/>
  <c r="A118" i="1"/>
  <c r="C118" i="1"/>
  <c r="D118" i="1"/>
  <c r="E118" i="1"/>
  <c r="A119" i="1"/>
  <c r="C119" i="1"/>
  <c r="D119" i="1"/>
  <c r="E119" i="1"/>
  <c r="A120" i="1"/>
  <c r="C120" i="1"/>
  <c r="D120" i="1"/>
  <c r="E120" i="1"/>
  <c r="A121" i="1"/>
  <c r="C121" i="1"/>
  <c r="D121" i="1"/>
  <c r="E121" i="1"/>
  <c r="A122" i="1"/>
  <c r="C122" i="1"/>
  <c r="D122" i="1"/>
  <c r="E122" i="1"/>
  <c r="A123" i="1"/>
  <c r="C123" i="1"/>
  <c r="D123" i="1"/>
  <c r="E123" i="1"/>
  <c r="A124" i="1"/>
  <c r="C124" i="1"/>
  <c r="D124" i="1"/>
  <c r="E124" i="1"/>
  <c r="A125" i="1"/>
  <c r="C125" i="1"/>
  <c r="D125" i="1"/>
  <c r="E125" i="1"/>
  <c r="A126" i="1"/>
  <c r="C126" i="1"/>
  <c r="D126" i="1"/>
  <c r="E126" i="1"/>
  <c r="A127" i="1"/>
  <c r="C127" i="1"/>
  <c r="D127" i="1"/>
  <c r="E127" i="1"/>
  <c r="A128" i="1"/>
  <c r="C128" i="1"/>
  <c r="D128" i="1"/>
  <c r="E128" i="1"/>
  <c r="A129" i="1"/>
  <c r="C129" i="1"/>
  <c r="D129" i="1"/>
  <c r="E129" i="1"/>
  <c r="A130" i="1"/>
  <c r="C130" i="1"/>
  <c r="D130" i="1"/>
  <c r="E130" i="1"/>
  <c r="A131" i="1"/>
  <c r="C131" i="1"/>
  <c r="D131" i="1"/>
  <c r="E131" i="1"/>
  <c r="A132" i="1"/>
  <c r="C132" i="1"/>
  <c r="D132" i="1"/>
  <c r="E132" i="1"/>
  <c r="A133" i="1"/>
  <c r="C133" i="1"/>
  <c r="D133" i="1"/>
  <c r="E133" i="1"/>
  <c r="A134" i="1"/>
  <c r="C134" i="1"/>
  <c r="D134" i="1"/>
  <c r="E134" i="1"/>
  <c r="A135" i="1"/>
  <c r="C135" i="1"/>
  <c r="D135" i="1"/>
  <c r="E135" i="1"/>
  <c r="A136" i="1"/>
  <c r="C136" i="1"/>
  <c r="D136" i="1"/>
  <c r="E136" i="1"/>
  <c r="A137" i="1"/>
  <c r="C137" i="1"/>
  <c r="D137" i="1"/>
  <c r="E137" i="1"/>
  <c r="A138" i="1"/>
  <c r="C138" i="1"/>
  <c r="D138" i="1"/>
  <c r="E138" i="1"/>
  <c r="A139" i="1"/>
  <c r="C139" i="1"/>
  <c r="D139" i="1"/>
  <c r="E139" i="1"/>
  <c r="A140" i="1"/>
  <c r="C140" i="1"/>
  <c r="D140" i="1"/>
  <c r="E140" i="1"/>
  <c r="A141" i="1"/>
  <c r="C141" i="1"/>
  <c r="D141" i="1"/>
  <c r="E141" i="1"/>
  <c r="A142" i="1"/>
  <c r="C142" i="1"/>
  <c r="D142" i="1"/>
  <c r="E142" i="1"/>
  <c r="A143" i="1"/>
  <c r="C143" i="1"/>
  <c r="D143" i="1"/>
  <c r="E143" i="1"/>
  <c r="A144" i="1"/>
  <c r="C144" i="1"/>
  <c r="D144" i="1"/>
  <c r="E144" i="1"/>
  <c r="A145" i="1"/>
  <c r="C145" i="1"/>
  <c r="D145" i="1"/>
  <c r="E145" i="1"/>
  <c r="A146" i="1"/>
  <c r="C146" i="1"/>
  <c r="D146" i="1"/>
  <c r="E146" i="1"/>
  <c r="A147" i="1"/>
  <c r="C147" i="1"/>
  <c r="D147" i="1"/>
  <c r="E147" i="1"/>
  <c r="A148" i="1"/>
  <c r="C148" i="1"/>
  <c r="D148" i="1"/>
  <c r="E148" i="1"/>
  <c r="A149" i="1"/>
  <c r="C149" i="1"/>
  <c r="D149" i="1"/>
  <c r="E149" i="1"/>
  <c r="A150" i="1"/>
  <c r="C150" i="1"/>
  <c r="D150" i="1"/>
  <c r="E150" i="1"/>
  <c r="A151" i="1"/>
  <c r="C151" i="1"/>
  <c r="D151" i="1"/>
  <c r="E151" i="1"/>
  <c r="A152" i="1"/>
  <c r="C152" i="1"/>
  <c r="D152" i="1"/>
  <c r="E152" i="1"/>
  <c r="A153" i="1"/>
  <c r="C153" i="1"/>
  <c r="D153" i="1"/>
  <c r="E153" i="1"/>
  <c r="A154" i="1"/>
  <c r="C154" i="1"/>
  <c r="D154" i="1"/>
  <c r="E154" i="1"/>
  <c r="A155" i="1"/>
  <c r="C155" i="1"/>
  <c r="D155" i="1"/>
  <c r="E155" i="1"/>
  <c r="A156" i="1"/>
  <c r="C156" i="1"/>
  <c r="D156" i="1"/>
  <c r="E156" i="1"/>
  <c r="A157" i="1"/>
  <c r="C157" i="1"/>
  <c r="D157" i="1"/>
  <c r="E157" i="1"/>
  <c r="A158" i="1"/>
  <c r="C158" i="1"/>
  <c r="D158" i="1"/>
  <c r="E158" i="1"/>
  <c r="A159" i="1"/>
  <c r="C159" i="1"/>
  <c r="D159" i="1"/>
  <c r="E159" i="1"/>
  <c r="A160" i="1"/>
  <c r="C160" i="1"/>
  <c r="D160" i="1"/>
  <c r="E160" i="1"/>
  <c r="A161" i="1"/>
  <c r="C161" i="1"/>
  <c r="D161" i="1"/>
  <c r="E161" i="1"/>
  <c r="A162" i="1"/>
  <c r="C162" i="1"/>
  <c r="D162" i="1"/>
  <c r="E162" i="1"/>
  <c r="A163" i="1"/>
  <c r="C163" i="1"/>
  <c r="D163" i="1"/>
  <c r="E163" i="1"/>
  <c r="A164" i="1"/>
  <c r="C164" i="1"/>
  <c r="D164" i="1"/>
  <c r="E164" i="1"/>
  <c r="A165" i="1"/>
  <c r="C165" i="1"/>
  <c r="D165" i="1"/>
  <c r="E165" i="1"/>
  <c r="A166" i="1"/>
  <c r="C166" i="1"/>
  <c r="D166" i="1"/>
  <c r="E166" i="1"/>
  <c r="A167" i="1"/>
  <c r="C167" i="1"/>
  <c r="D167" i="1"/>
  <c r="E167" i="1"/>
  <c r="A168" i="1"/>
  <c r="C168" i="1"/>
  <c r="D168" i="1"/>
  <c r="E168" i="1"/>
  <c r="A169" i="1"/>
  <c r="C169" i="1"/>
  <c r="D169" i="1"/>
  <c r="E169" i="1"/>
  <c r="A170" i="1"/>
  <c r="C170" i="1"/>
  <c r="D170" i="1"/>
  <c r="E170" i="1"/>
  <c r="A171" i="1"/>
  <c r="C171" i="1"/>
  <c r="D171" i="1"/>
  <c r="E171" i="1"/>
  <c r="A172" i="1"/>
  <c r="C172" i="1"/>
  <c r="D172" i="1"/>
  <c r="E172" i="1"/>
  <c r="A173" i="1"/>
  <c r="C173" i="1"/>
  <c r="D173" i="1"/>
  <c r="E173" i="1"/>
  <c r="A174" i="1"/>
  <c r="C174" i="1"/>
  <c r="D174" i="1"/>
  <c r="E174" i="1"/>
  <c r="A175" i="1"/>
  <c r="C175" i="1"/>
  <c r="D175" i="1"/>
  <c r="E175" i="1"/>
  <c r="A176" i="1"/>
  <c r="C176" i="1"/>
  <c r="D176" i="1"/>
  <c r="E176" i="1"/>
  <c r="A177" i="1"/>
  <c r="C177" i="1"/>
  <c r="D177" i="1"/>
  <c r="E177" i="1"/>
  <c r="A178" i="1"/>
  <c r="C178" i="1"/>
  <c r="D178" i="1"/>
  <c r="E178" i="1"/>
  <c r="A179" i="1"/>
  <c r="C179" i="1"/>
  <c r="D179" i="1"/>
  <c r="E179" i="1"/>
  <c r="A180" i="1"/>
  <c r="C180" i="1"/>
  <c r="D180" i="1"/>
  <c r="E180" i="1"/>
  <c r="A181" i="1"/>
  <c r="C181" i="1"/>
  <c r="D181" i="1"/>
  <c r="E181" i="1"/>
  <c r="A182" i="1"/>
  <c r="C182" i="1"/>
  <c r="D182" i="1"/>
  <c r="E182" i="1"/>
  <c r="A183" i="1"/>
  <c r="C183" i="1"/>
  <c r="D183" i="1"/>
  <c r="E183" i="1"/>
  <c r="A184" i="1"/>
  <c r="C184" i="1"/>
  <c r="D184" i="1"/>
  <c r="E184" i="1"/>
  <c r="A185" i="1"/>
  <c r="C185" i="1"/>
  <c r="D185" i="1"/>
  <c r="E185" i="1"/>
  <c r="A186" i="1"/>
  <c r="C186" i="1"/>
  <c r="D186" i="1"/>
  <c r="E186" i="1"/>
  <c r="A187" i="1"/>
  <c r="C187" i="1"/>
  <c r="D187" i="1"/>
  <c r="E187" i="1"/>
  <c r="A188" i="1"/>
  <c r="C188" i="1"/>
  <c r="D188" i="1"/>
  <c r="E188" i="1"/>
  <c r="A189" i="1"/>
  <c r="C189" i="1"/>
  <c r="D189" i="1"/>
  <c r="E189" i="1"/>
  <c r="A190" i="1"/>
  <c r="C190" i="1"/>
  <c r="D190" i="1"/>
  <c r="E190" i="1"/>
  <c r="A191" i="1"/>
  <c r="C191" i="1"/>
  <c r="D191" i="1"/>
  <c r="E191" i="1"/>
  <c r="A192" i="1"/>
  <c r="C192" i="1"/>
  <c r="D192" i="1"/>
  <c r="E192" i="1"/>
  <c r="A193" i="1"/>
  <c r="C193" i="1"/>
  <c r="D193" i="1"/>
  <c r="E193" i="1"/>
  <c r="A194" i="1"/>
  <c r="C194" i="1"/>
  <c r="D194" i="1"/>
  <c r="E194" i="1"/>
  <c r="A195" i="1"/>
  <c r="C195" i="1"/>
  <c r="D195" i="1"/>
  <c r="E195" i="1"/>
  <c r="A196" i="1"/>
  <c r="C196" i="1"/>
  <c r="D196" i="1"/>
  <c r="E196" i="1"/>
  <c r="A197" i="1"/>
  <c r="C197" i="1"/>
  <c r="D197" i="1"/>
  <c r="E197" i="1"/>
  <c r="A198" i="1"/>
  <c r="C198" i="1"/>
  <c r="D198" i="1"/>
  <c r="E198" i="1"/>
  <c r="A199" i="1"/>
  <c r="C199" i="1"/>
  <c r="D199" i="1"/>
  <c r="E199" i="1"/>
  <c r="A200" i="1"/>
  <c r="C200" i="1"/>
  <c r="D200" i="1"/>
  <c r="E200" i="1"/>
  <c r="A201" i="1"/>
  <c r="C201" i="1"/>
  <c r="D201" i="1"/>
  <c r="E201" i="1"/>
  <c r="A202" i="1"/>
  <c r="C202" i="1"/>
  <c r="D202" i="1"/>
  <c r="E202" i="1"/>
  <c r="A203" i="1"/>
  <c r="C203" i="1"/>
  <c r="D203" i="1"/>
  <c r="E203" i="1"/>
  <c r="A204" i="1"/>
  <c r="C204" i="1"/>
  <c r="D204" i="1"/>
  <c r="E204" i="1"/>
  <c r="A205" i="1"/>
  <c r="C205" i="1"/>
  <c r="D205" i="1"/>
  <c r="E205" i="1"/>
  <c r="A206" i="1"/>
  <c r="C206" i="1"/>
  <c r="D206" i="1"/>
  <c r="E206" i="1"/>
  <c r="A207" i="1"/>
  <c r="C207" i="1"/>
  <c r="D207" i="1"/>
  <c r="E207" i="1"/>
  <c r="A208" i="1"/>
  <c r="C208" i="1"/>
  <c r="D208" i="1"/>
  <c r="E208" i="1"/>
  <c r="A209" i="1"/>
  <c r="C209" i="1"/>
  <c r="D209" i="1"/>
  <c r="E209" i="1"/>
  <c r="A210" i="1"/>
  <c r="C210" i="1"/>
  <c r="D210" i="1"/>
  <c r="E210" i="1"/>
  <c r="A211" i="1"/>
  <c r="C211" i="1"/>
  <c r="D211" i="1"/>
  <c r="E211" i="1"/>
  <c r="A212" i="1"/>
  <c r="C212" i="1"/>
  <c r="D212" i="1"/>
  <c r="E212" i="1"/>
  <c r="A213" i="1"/>
  <c r="C213" i="1"/>
  <c r="D213" i="1"/>
  <c r="E213" i="1"/>
  <c r="A214" i="1"/>
  <c r="C214" i="1"/>
  <c r="D214" i="1"/>
  <c r="E214" i="1"/>
  <c r="A215" i="1"/>
  <c r="C215" i="1"/>
  <c r="D215" i="1"/>
  <c r="E215" i="1"/>
  <c r="A216" i="1"/>
  <c r="C216" i="1"/>
  <c r="D216" i="1"/>
  <c r="E216" i="1"/>
  <c r="A217" i="1"/>
  <c r="C217" i="1"/>
  <c r="D217" i="1"/>
  <c r="E217" i="1"/>
  <c r="A218" i="1"/>
  <c r="C218" i="1"/>
  <c r="D218" i="1"/>
  <c r="E218" i="1"/>
  <c r="A219" i="1"/>
  <c r="C219" i="1"/>
  <c r="D219" i="1"/>
  <c r="E219" i="1"/>
  <c r="A220" i="1"/>
  <c r="C220" i="1"/>
  <c r="D220" i="1"/>
  <c r="E220" i="1"/>
  <c r="A221" i="1"/>
  <c r="C221" i="1"/>
  <c r="D221" i="1"/>
  <c r="E221" i="1"/>
  <c r="A222" i="1"/>
  <c r="C222" i="1"/>
  <c r="D222" i="1"/>
  <c r="E222" i="1"/>
  <c r="A223" i="1"/>
  <c r="C223" i="1"/>
  <c r="D223" i="1"/>
  <c r="E223" i="1"/>
  <c r="A224" i="1"/>
  <c r="C224" i="1"/>
  <c r="D224" i="1"/>
  <c r="E224" i="1"/>
  <c r="A225" i="1"/>
  <c r="C225" i="1"/>
  <c r="D225" i="1"/>
  <c r="E225" i="1"/>
  <c r="A226" i="1"/>
  <c r="C226" i="1"/>
  <c r="D226" i="1"/>
  <c r="E226" i="1"/>
  <c r="A227" i="1"/>
  <c r="C227" i="1"/>
  <c r="D227" i="1"/>
  <c r="E227" i="1"/>
  <c r="A228" i="1"/>
  <c r="C228" i="1"/>
  <c r="D228" i="1"/>
  <c r="E228" i="1"/>
  <c r="A229" i="1"/>
  <c r="C229" i="1"/>
  <c r="D229" i="1"/>
  <c r="E229" i="1"/>
  <c r="A230" i="1"/>
  <c r="C230" i="1"/>
  <c r="D230" i="1"/>
  <c r="E230" i="1"/>
  <c r="A231" i="1"/>
  <c r="C231" i="1"/>
  <c r="D231" i="1"/>
  <c r="E231" i="1"/>
  <c r="A232" i="1"/>
  <c r="C232" i="1"/>
  <c r="D232" i="1"/>
  <c r="E232" i="1"/>
  <c r="A233" i="1"/>
  <c r="C233" i="1"/>
  <c r="D233" i="1"/>
  <c r="E233" i="1"/>
  <c r="A234" i="1"/>
  <c r="C234" i="1"/>
  <c r="D234" i="1"/>
  <c r="E234" i="1"/>
  <c r="A235" i="1"/>
  <c r="C235" i="1"/>
  <c r="D235" i="1"/>
  <c r="E235" i="1"/>
  <c r="A236" i="1"/>
  <c r="C236" i="1"/>
  <c r="D236" i="1"/>
  <c r="E236" i="1"/>
  <c r="A237" i="1"/>
  <c r="C237" i="1"/>
  <c r="D237" i="1"/>
  <c r="E237" i="1"/>
  <c r="A238" i="1"/>
  <c r="C238" i="1"/>
  <c r="D238" i="1"/>
  <c r="E238" i="1"/>
  <c r="A239" i="1"/>
  <c r="C239" i="1"/>
  <c r="D239" i="1"/>
  <c r="E239" i="1"/>
  <c r="A240" i="1"/>
  <c r="C240" i="1"/>
  <c r="D240" i="1"/>
  <c r="E240" i="1"/>
  <c r="A241" i="1"/>
  <c r="C241" i="1"/>
  <c r="D241" i="1"/>
  <c r="E241" i="1"/>
  <c r="A242" i="1"/>
  <c r="C242" i="1"/>
  <c r="D242" i="1"/>
  <c r="E242" i="1"/>
  <c r="A243" i="1"/>
  <c r="C243" i="1"/>
  <c r="D243" i="1"/>
  <c r="E243" i="1"/>
  <c r="A244" i="1"/>
  <c r="C244" i="1"/>
  <c r="D244" i="1"/>
  <c r="E244" i="1"/>
  <c r="A245" i="1"/>
  <c r="C245" i="1"/>
  <c r="D245" i="1"/>
  <c r="E245" i="1"/>
  <c r="A246" i="1"/>
  <c r="C246" i="1"/>
  <c r="D246" i="1"/>
  <c r="E246" i="1"/>
  <c r="A247" i="1"/>
  <c r="C247" i="1"/>
  <c r="D247" i="1"/>
  <c r="E247" i="1"/>
  <c r="A248" i="1"/>
  <c r="C248" i="1"/>
  <c r="D248" i="1"/>
  <c r="E248" i="1"/>
  <c r="A249" i="1"/>
  <c r="C249" i="1"/>
  <c r="D249" i="1"/>
  <c r="E249" i="1"/>
  <c r="A250" i="1"/>
  <c r="C250" i="1"/>
  <c r="D250" i="1"/>
  <c r="E250" i="1"/>
  <c r="A251" i="1"/>
  <c r="C251" i="1"/>
  <c r="D251" i="1"/>
  <c r="E251" i="1"/>
  <c r="A252" i="1"/>
  <c r="C252" i="1"/>
  <c r="D252" i="1"/>
  <c r="E252" i="1"/>
  <c r="A253" i="1"/>
  <c r="C253" i="1"/>
  <c r="D253" i="1"/>
  <c r="E253" i="1"/>
  <c r="A254" i="1"/>
  <c r="C254" i="1"/>
  <c r="D254" i="1"/>
  <c r="E254" i="1"/>
  <c r="A255" i="1"/>
  <c r="C255" i="1"/>
  <c r="D255" i="1"/>
  <c r="E255" i="1"/>
  <c r="A256" i="1"/>
  <c r="C256" i="1"/>
  <c r="D256" i="1"/>
  <c r="E256" i="1"/>
  <c r="A257" i="1"/>
  <c r="C257" i="1"/>
  <c r="D257" i="1"/>
  <c r="E257" i="1"/>
  <c r="A258" i="1"/>
  <c r="C258" i="1"/>
  <c r="D258" i="1"/>
  <c r="E258" i="1"/>
  <c r="A259" i="1"/>
  <c r="C259" i="1"/>
  <c r="D259" i="1"/>
  <c r="E259" i="1"/>
  <c r="A260" i="1"/>
  <c r="C260" i="1"/>
  <c r="D260" i="1"/>
  <c r="E260" i="1"/>
  <c r="A261" i="1"/>
  <c r="C261" i="1"/>
  <c r="D261" i="1"/>
  <c r="E261" i="1"/>
  <c r="A262" i="1"/>
  <c r="C262" i="1"/>
  <c r="D262" i="1"/>
  <c r="E262" i="1"/>
  <c r="A263" i="1"/>
  <c r="C263" i="1"/>
  <c r="D263" i="1"/>
  <c r="E263" i="1"/>
  <c r="A264" i="1"/>
  <c r="C264" i="1"/>
  <c r="D264" i="1"/>
  <c r="E264" i="1"/>
  <c r="A265" i="1"/>
  <c r="C265" i="1"/>
  <c r="D265" i="1"/>
  <c r="E265" i="1"/>
  <c r="A266" i="1"/>
  <c r="C266" i="1"/>
  <c r="D266" i="1"/>
  <c r="E266" i="1"/>
  <c r="A267" i="1"/>
  <c r="C267" i="1"/>
  <c r="D267" i="1"/>
  <c r="E267" i="1"/>
  <c r="A268" i="1"/>
  <c r="C268" i="1"/>
  <c r="D268" i="1"/>
  <c r="E268" i="1"/>
  <c r="A269" i="1"/>
  <c r="C269" i="1"/>
  <c r="D269" i="1"/>
  <c r="E269" i="1"/>
  <c r="A270" i="1"/>
  <c r="C270" i="1"/>
  <c r="D270" i="1"/>
  <c r="E270" i="1"/>
  <c r="A271" i="1"/>
  <c r="C271" i="1"/>
  <c r="D271" i="1"/>
  <c r="E271" i="1"/>
  <c r="A272" i="1"/>
  <c r="C272" i="1"/>
  <c r="D272" i="1"/>
  <c r="E272" i="1"/>
  <c r="A273" i="1"/>
  <c r="C273" i="1"/>
  <c r="D273" i="1"/>
  <c r="E273" i="1"/>
  <c r="A274" i="1"/>
  <c r="C274" i="1"/>
  <c r="D274" i="1"/>
  <c r="E274" i="1"/>
  <c r="A275" i="1"/>
  <c r="C275" i="1"/>
  <c r="D275" i="1"/>
  <c r="E275" i="1"/>
  <c r="A276" i="1"/>
  <c r="C276" i="1"/>
  <c r="D276" i="1"/>
  <c r="E276" i="1"/>
  <c r="A277" i="1"/>
  <c r="C277" i="1"/>
  <c r="D277" i="1"/>
  <c r="E277" i="1"/>
  <c r="A278" i="1"/>
  <c r="C278" i="1"/>
  <c r="D278" i="1"/>
  <c r="E278" i="1"/>
  <c r="A279" i="1"/>
  <c r="C279" i="1"/>
  <c r="D279" i="1"/>
  <c r="E279" i="1"/>
  <c r="A280" i="1"/>
  <c r="C280" i="1"/>
  <c r="D280" i="1"/>
  <c r="E280" i="1"/>
  <c r="A281" i="1"/>
  <c r="C281" i="1"/>
  <c r="D281" i="1"/>
  <c r="E281" i="1"/>
  <c r="A282" i="1"/>
  <c r="C282" i="1"/>
  <c r="D282" i="1"/>
  <c r="E282" i="1"/>
  <c r="A283" i="1"/>
  <c r="C283" i="1"/>
  <c r="D283" i="1"/>
  <c r="E283" i="1"/>
  <c r="A284" i="1"/>
  <c r="C284" i="1"/>
  <c r="D284" i="1"/>
  <c r="E284" i="1"/>
  <c r="A285" i="1"/>
  <c r="C285" i="1"/>
  <c r="D285" i="1"/>
  <c r="E285" i="1"/>
  <c r="A286" i="1"/>
  <c r="C286" i="1"/>
  <c r="D286" i="1"/>
  <c r="E286" i="1"/>
  <c r="A287" i="1"/>
  <c r="C287" i="1"/>
  <c r="D287" i="1"/>
  <c r="E287" i="1"/>
  <c r="A288" i="1"/>
  <c r="C288" i="1"/>
  <c r="D288" i="1"/>
  <c r="E288" i="1"/>
  <c r="A289" i="1"/>
  <c r="C289" i="1"/>
  <c r="D289" i="1"/>
  <c r="E289" i="1"/>
  <c r="A290" i="1"/>
  <c r="C290" i="1"/>
  <c r="D290" i="1"/>
  <c r="E290" i="1"/>
  <c r="A291" i="1"/>
  <c r="C291" i="1"/>
  <c r="D291" i="1"/>
  <c r="E291" i="1"/>
  <c r="A292" i="1"/>
  <c r="C292" i="1"/>
  <c r="D292" i="1"/>
  <c r="E292" i="1"/>
  <c r="A293" i="1"/>
  <c r="C293" i="1"/>
  <c r="D293" i="1"/>
  <c r="E293" i="1"/>
  <c r="A294" i="1"/>
  <c r="C294" i="1"/>
  <c r="D294" i="1"/>
  <c r="E294" i="1"/>
  <c r="A295" i="1"/>
  <c r="C295" i="1"/>
  <c r="D295" i="1"/>
  <c r="E295" i="1"/>
  <c r="A296" i="1"/>
  <c r="C296" i="1"/>
  <c r="D296" i="1"/>
  <c r="E296" i="1"/>
  <c r="A297" i="1"/>
  <c r="C297" i="1"/>
  <c r="D297" i="1"/>
  <c r="E297" i="1"/>
  <c r="A298" i="1"/>
  <c r="C298" i="1"/>
  <c r="D298" i="1"/>
  <c r="E298" i="1"/>
  <c r="A299" i="1"/>
  <c r="C299" i="1"/>
  <c r="D299" i="1"/>
  <c r="E299" i="1"/>
  <c r="A300" i="1"/>
  <c r="C300" i="1"/>
  <c r="D300" i="1"/>
  <c r="E300" i="1"/>
  <c r="A301" i="1"/>
  <c r="C301" i="1"/>
  <c r="D301" i="1"/>
  <c r="E301" i="1"/>
  <c r="A302" i="1"/>
  <c r="C302" i="1"/>
  <c r="D302" i="1"/>
  <c r="E302" i="1"/>
  <c r="A303" i="1"/>
  <c r="C303" i="1"/>
  <c r="D303" i="1"/>
  <c r="E303" i="1"/>
  <c r="A304" i="1"/>
  <c r="C304" i="1"/>
  <c r="D304" i="1"/>
  <c r="E304" i="1"/>
  <c r="A305" i="1"/>
  <c r="C305" i="1"/>
  <c r="D305" i="1"/>
  <c r="E305" i="1"/>
  <c r="A306" i="1"/>
  <c r="C306" i="1"/>
  <c r="D306" i="1"/>
  <c r="E306" i="1"/>
  <c r="A307" i="1"/>
  <c r="C307" i="1"/>
  <c r="D307" i="1"/>
  <c r="E307" i="1"/>
  <c r="A308" i="1"/>
  <c r="C308" i="1"/>
  <c r="D308" i="1"/>
  <c r="E308" i="1"/>
  <c r="A309" i="1"/>
  <c r="C309" i="1"/>
  <c r="D309" i="1"/>
  <c r="E309" i="1"/>
  <c r="A310" i="1"/>
  <c r="C310" i="1"/>
  <c r="D310" i="1"/>
  <c r="E310" i="1"/>
  <c r="A311" i="1"/>
  <c r="C311" i="1"/>
  <c r="D311" i="1"/>
  <c r="E311" i="1"/>
  <c r="A312" i="1"/>
  <c r="C312" i="1"/>
  <c r="D312" i="1"/>
  <c r="E312" i="1"/>
  <c r="A313" i="1"/>
  <c r="C313" i="1"/>
  <c r="D313" i="1"/>
  <c r="E313" i="1"/>
  <c r="A314" i="1"/>
  <c r="C314" i="1"/>
  <c r="D314" i="1"/>
  <c r="E314" i="1"/>
  <c r="A315" i="1"/>
  <c r="C315" i="1"/>
  <c r="D315" i="1"/>
  <c r="E315" i="1"/>
  <c r="A316" i="1"/>
  <c r="C316" i="1"/>
  <c r="D316" i="1"/>
  <c r="E316" i="1"/>
  <c r="A317" i="1"/>
  <c r="C317" i="1"/>
  <c r="D317" i="1"/>
  <c r="E317" i="1"/>
  <c r="A318" i="1"/>
  <c r="C318" i="1"/>
  <c r="D318" i="1"/>
  <c r="E318" i="1"/>
  <c r="A319" i="1"/>
  <c r="C319" i="1"/>
  <c r="D319" i="1"/>
  <c r="E319" i="1"/>
  <c r="A320" i="1"/>
  <c r="C320" i="1"/>
  <c r="D320" i="1"/>
  <c r="E320" i="1"/>
  <c r="A321" i="1"/>
  <c r="C321" i="1"/>
  <c r="D321" i="1"/>
  <c r="E321" i="1"/>
  <c r="A322" i="1"/>
  <c r="C322" i="1"/>
  <c r="D322" i="1"/>
  <c r="E322" i="1"/>
  <c r="A323" i="1"/>
  <c r="C323" i="1"/>
  <c r="D323" i="1"/>
  <c r="E323" i="1"/>
  <c r="A324" i="1"/>
  <c r="C324" i="1"/>
  <c r="D324" i="1"/>
  <c r="E324" i="1"/>
  <c r="A325" i="1"/>
  <c r="C325" i="1"/>
  <c r="D325" i="1"/>
  <c r="E325" i="1"/>
  <c r="A326" i="1"/>
  <c r="C326" i="1"/>
  <c r="D326" i="1"/>
  <c r="E326" i="1"/>
  <c r="A327" i="1"/>
  <c r="C327" i="1"/>
  <c r="D327" i="1"/>
  <c r="E327" i="1"/>
  <c r="A328" i="1"/>
  <c r="C328" i="1"/>
  <c r="D328" i="1"/>
  <c r="E328" i="1"/>
  <c r="A329" i="1"/>
  <c r="C329" i="1"/>
  <c r="D329" i="1"/>
  <c r="E329" i="1"/>
  <c r="A330" i="1"/>
  <c r="C330" i="1"/>
  <c r="D330" i="1"/>
  <c r="E330" i="1"/>
  <c r="A331" i="1"/>
  <c r="C331" i="1"/>
  <c r="D331" i="1"/>
  <c r="E331" i="1"/>
  <c r="A332" i="1"/>
  <c r="C332" i="1"/>
  <c r="D332" i="1"/>
  <c r="E332" i="1"/>
  <c r="A333" i="1"/>
  <c r="C333" i="1"/>
  <c r="D333" i="1"/>
  <c r="E333" i="1"/>
  <c r="A334" i="1"/>
  <c r="C334" i="1"/>
  <c r="D334" i="1"/>
  <c r="E334" i="1"/>
  <c r="A335" i="1"/>
  <c r="C335" i="1"/>
  <c r="D335" i="1"/>
  <c r="E335" i="1"/>
  <c r="A336" i="1"/>
  <c r="C336" i="1"/>
  <c r="D336" i="1"/>
  <c r="E336" i="1"/>
  <c r="A337" i="1"/>
  <c r="C337" i="1"/>
  <c r="D337" i="1"/>
  <c r="E337" i="1"/>
  <c r="A338" i="1"/>
  <c r="C338" i="1"/>
  <c r="D338" i="1"/>
  <c r="E338" i="1"/>
  <c r="A339" i="1"/>
  <c r="C339" i="1"/>
  <c r="D339" i="1"/>
  <c r="E339" i="1"/>
  <c r="A340" i="1"/>
  <c r="C340" i="1"/>
  <c r="D340" i="1"/>
  <c r="E340" i="1"/>
  <c r="A341" i="1"/>
  <c r="C341" i="1"/>
  <c r="D341" i="1"/>
  <c r="E341" i="1"/>
  <c r="A342" i="1"/>
  <c r="C342" i="1"/>
  <c r="D342" i="1"/>
  <c r="E342" i="1"/>
  <c r="A343" i="1"/>
  <c r="C343" i="1"/>
  <c r="D343" i="1"/>
  <c r="E343" i="1"/>
  <c r="A344" i="1"/>
  <c r="C344" i="1"/>
  <c r="D344" i="1"/>
  <c r="E344" i="1"/>
  <c r="A345" i="1"/>
  <c r="C345" i="1"/>
  <c r="D345" i="1"/>
  <c r="E345" i="1"/>
  <c r="A346" i="1"/>
  <c r="C346" i="1"/>
  <c r="D346" i="1"/>
  <c r="E346" i="1"/>
  <c r="A347" i="1"/>
  <c r="C347" i="1"/>
  <c r="D347" i="1"/>
  <c r="E347" i="1"/>
  <c r="A348" i="1"/>
  <c r="C348" i="1"/>
  <c r="D348" i="1"/>
  <c r="E348" i="1"/>
  <c r="A349" i="1"/>
  <c r="C349" i="1"/>
  <c r="D349" i="1"/>
  <c r="E349" i="1"/>
  <c r="A350" i="1"/>
  <c r="C350" i="1"/>
  <c r="D350" i="1"/>
  <c r="E350" i="1"/>
  <c r="A351" i="1"/>
  <c r="C351" i="1"/>
  <c r="D351" i="1"/>
  <c r="E351" i="1"/>
  <c r="A352" i="1"/>
  <c r="C352" i="1"/>
  <c r="D352" i="1"/>
  <c r="E352" i="1"/>
  <c r="A353" i="1"/>
  <c r="C353" i="1"/>
  <c r="D353" i="1"/>
  <c r="E353" i="1"/>
  <c r="A354" i="1"/>
  <c r="C354" i="1"/>
  <c r="D354" i="1"/>
  <c r="E354" i="1"/>
  <c r="A355" i="1"/>
  <c r="C355" i="1"/>
  <c r="D355" i="1"/>
  <c r="E355" i="1"/>
  <c r="A356" i="1"/>
  <c r="C356" i="1"/>
  <c r="D356" i="1"/>
  <c r="E356" i="1"/>
  <c r="A357" i="1"/>
  <c r="C357" i="1"/>
  <c r="D357" i="1"/>
  <c r="E357" i="1"/>
  <c r="A358" i="1"/>
  <c r="C358" i="1"/>
  <c r="D358" i="1"/>
  <c r="E358" i="1"/>
  <c r="A359" i="1"/>
  <c r="C359" i="1"/>
  <c r="D359" i="1"/>
  <c r="E359" i="1"/>
  <c r="A360" i="1"/>
  <c r="C360" i="1"/>
  <c r="D360" i="1"/>
  <c r="E360" i="1"/>
  <c r="A361" i="1"/>
  <c r="C361" i="1"/>
  <c r="D361" i="1"/>
  <c r="E361" i="1"/>
  <c r="A362" i="1"/>
  <c r="C362" i="1"/>
  <c r="D362" i="1"/>
  <c r="E362" i="1"/>
  <c r="A363" i="1"/>
  <c r="C363" i="1"/>
  <c r="D363" i="1"/>
  <c r="E363" i="1"/>
  <c r="A364" i="1"/>
  <c r="C364" i="1"/>
  <c r="D364" i="1"/>
  <c r="E364" i="1"/>
  <c r="A365" i="1"/>
  <c r="C365" i="1"/>
  <c r="D365" i="1"/>
  <c r="E365" i="1"/>
  <c r="A366" i="1"/>
  <c r="C366" i="1"/>
  <c r="D366" i="1"/>
  <c r="E366" i="1"/>
  <c r="A367" i="1"/>
  <c r="C367" i="1"/>
  <c r="D367" i="1"/>
  <c r="E367" i="1"/>
  <c r="A368" i="1"/>
  <c r="C368" i="1"/>
  <c r="D368" i="1"/>
  <c r="E368" i="1"/>
  <c r="A369" i="1"/>
  <c r="C369" i="1"/>
  <c r="D369" i="1"/>
  <c r="E369" i="1"/>
  <c r="A370" i="1"/>
  <c r="C370" i="1"/>
  <c r="D370" i="1"/>
  <c r="E370" i="1"/>
  <c r="A371" i="1"/>
  <c r="C371" i="1"/>
  <c r="D371" i="1"/>
  <c r="E371" i="1"/>
  <c r="A372" i="1"/>
  <c r="C372" i="1"/>
  <c r="D372" i="1"/>
  <c r="E372" i="1"/>
  <c r="A373" i="1"/>
  <c r="C373" i="1"/>
  <c r="D373" i="1"/>
  <c r="E373" i="1"/>
  <c r="A374" i="1"/>
  <c r="C374" i="1"/>
  <c r="D374" i="1"/>
  <c r="E374" i="1"/>
  <c r="A375" i="1"/>
  <c r="C375" i="1"/>
  <c r="D375" i="1"/>
  <c r="E375" i="1"/>
  <c r="A376" i="1"/>
  <c r="C376" i="1"/>
  <c r="D376" i="1"/>
  <c r="E376" i="1"/>
  <c r="A377" i="1"/>
  <c r="C377" i="1"/>
  <c r="D377" i="1"/>
  <c r="E377" i="1"/>
  <c r="A378" i="1"/>
  <c r="C378" i="1"/>
  <c r="D378" i="1"/>
  <c r="E378" i="1"/>
  <c r="A379" i="1"/>
  <c r="C379" i="1"/>
  <c r="D379" i="1"/>
  <c r="E379" i="1"/>
  <c r="A380" i="1"/>
  <c r="C380" i="1"/>
  <c r="D380" i="1"/>
  <c r="E380" i="1"/>
  <c r="A381" i="1"/>
  <c r="C381" i="1"/>
  <c r="D381" i="1"/>
  <c r="E381" i="1"/>
  <c r="A382" i="1"/>
  <c r="C382" i="1"/>
  <c r="D382" i="1"/>
  <c r="E382" i="1"/>
  <c r="A383" i="1"/>
  <c r="C383" i="1"/>
  <c r="D383" i="1"/>
  <c r="E383" i="1"/>
  <c r="A384" i="1"/>
  <c r="C384" i="1"/>
  <c r="D384" i="1"/>
  <c r="E384" i="1"/>
  <c r="A385" i="1"/>
  <c r="C385" i="1"/>
  <c r="D385" i="1"/>
  <c r="E385" i="1"/>
  <c r="A386" i="1"/>
  <c r="C386" i="1"/>
  <c r="D386" i="1"/>
  <c r="E386" i="1"/>
  <c r="A387" i="1"/>
  <c r="C387" i="1"/>
  <c r="D387" i="1"/>
  <c r="E387" i="1"/>
  <c r="A388" i="1"/>
  <c r="C388" i="1"/>
  <c r="D388" i="1"/>
  <c r="E388" i="1"/>
  <c r="A389" i="1"/>
  <c r="C389" i="1"/>
  <c r="D389" i="1"/>
  <c r="E389" i="1"/>
  <c r="A390" i="1"/>
  <c r="C390" i="1"/>
  <c r="D390" i="1"/>
  <c r="E390" i="1"/>
  <c r="A391" i="1"/>
  <c r="C391" i="1"/>
  <c r="D391" i="1"/>
  <c r="E391" i="1"/>
  <c r="A392" i="1"/>
  <c r="C392" i="1"/>
  <c r="D392" i="1"/>
  <c r="E392" i="1"/>
  <c r="A393" i="1"/>
  <c r="C393" i="1"/>
  <c r="D393" i="1"/>
  <c r="E393" i="1"/>
  <c r="A394" i="1"/>
  <c r="C394" i="1"/>
  <c r="D394" i="1"/>
  <c r="E394" i="1"/>
  <c r="A395" i="1"/>
  <c r="C395" i="1"/>
  <c r="D395" i="1"/>
  <c r="E395" i="1"/>
  <c r="A396" i="1"/>
  <c r="C396" i="1"/>
  <c r="D396" i="1"/>
  <c r="E396" i="1"/>
  <c r="A397" i="1"/>
  <c r="C397" i="1"/>
  <c r="D397" i="1"/>
  <c r="E397" i="1"/>
  <c r="A398" i="1"/>
  <c r="C398" i="1"/>
  <c r="D398" i="1"/>
  <c r="E398" i="1"/>
  <c r="A399" i="1"/>
  <c r="C399" i="1"/>
  <c r="D399" i="1"/>
  <c r="E399" i="1"/>
  <c r="A400" i="1"/>
  <c r="C400" i="1"/>
  <c r="D400" i="1"/>
  <c r="E400" i="1"/>
  <c r="A401" i="1"/>
  <c r="C401" i="1"/>
  <c r="D401" i="1"/>
  <c r="E401" i="1"/>
  <c r="A402" i="1"/>
  <c r="C402" i="1"/>
  <c r="D402" i="1"/>
  <c r="E402" i="1"/>
  <c r="A403" i="1"/>
  <c r="C403" i="1"/>
  <c r="D403" i="1"/>
  <c r="E403" i="1"/>
  <c r="A404" i="1"/>
  <c r="C404" i="1"/>
  <c r="D404" i="1"/>
  <c r="E404" i="1"/>
  <c r="A405" i="1"/>
  <c r="C405" i="1"/>
  <c r="D405" i="1"/>
  <c r="E405" i="1"/>
  <c r="A406" i="1"/>
  <c r="C406" i="1"/>
  <c r="D406" i="1"/>
  <c r="E406" i="1"/>
  <c r="A407" i="1"/>
  <c r="C407" i="1"/>
  <c r="D407" i="1"/>
  <c r="E407" i="1"/>
  <c r="A408" i="1"/>
  <c r="C408" i="1"/>
  <c r="D408" i="1"/>
  <c r="E408" i="1"/>
  <c r="A409" i="1"/>
  <c r="C409" i="1"/>
  <c r="D409" i="1"/>
  <c r="E409" i="1"/>
  <c r="A410" i="1"/>
  <c r="C410" i="1"/>
  <c r="D410" i="1"/>
  <c r="E410" i="1"/>
  <c r="A411" i="1"/>
  <c r="C411" i="1"/>
  <c r="D411" i="1"/>
  <c r="E411" i="1"/>
  <c r="A412" i="1"/>
  <c r="C412" i="1"/>
  <c r="D412" i="1"/>
  <c r="E412" i="1"/>
  <c r="A413" i="1"/>
  <c r="C413" i="1"/>
  <c r="D413" i="1"/>
  <c r="E413" i="1"/>
  <c r="A414" i="1"/>
  <c r="C414" i="1"/>
  <c r="D414" i="1"/>
  <c r="E414" i="1"/>
  <c r="A415" i="1"/>
  <c r="C415" i="1"/>
  <c r="D415" i="1"/>
  <c r="E415" i="1"/>
  <c r="A416" i="1"/>
  <c r="C416" i="1"/>
  <c r="D416" i="1"/>
  <c r="E416" i="1"/>
  <c r="A417" i="1"/>
  <c r="C417" i="1"/>
  <c r="D417" i="1"/>
  <c r="E417" i="1"/>
  <c r="A418" i="1"/>
  <c r="C418" i="1"/>
  <c r="D418" i="1"/>
  <c r="E418" i="1"/>
  <c r="A419" i="1"/>
  <c r="C419" i="1"/>
  <c r="D419" i="1"/>
  <c r="E419" i="1"/>
  <c r="A420" i="1"/>
  <c r="C420" i="1"/>
  <c r="D420" i="1"/>
  <c r="E420" i="1"/>
  <c r="A421" i="1"/>
  <c r="C421" i="1"/>
  <c r="D421" i="1"/>
  <c r="E421" i="1"/>
  <c r="A422" i="1"/>
  <c r="C422" i="1"/>
  <c r="D422" i="1"/>
  <c r="E422" i="1"/>
  <c r="A423" i="1"/>
  <c r="C423" i="1"/>
  <c r="D423" i="1"/>
  <c r="E423" i="1"/>
  <c r="A424" i="1"/>
  <c r="C424" i="1"/>
  <c r="D424" i="1"/>
  <c r="E424" i="1"/>
  <c r="A425" i="1"/>
  <c r="C425" i="1"/>
  <c r="D425" i="1"/>
  <c r="E425" i="1"/>
  <c r="A426" i="1"/>
  <c r="C426" i="1"/>
  <c r="D426" i="1"/>
  <c r="E426" i="1"/>
  <c r="A427" i="1"/>
  <c r="C427" i="1"/>
  <c r="D427" i="1"/>
  <c r="E427" i="1"/>
  <c r="A428" i="1"/>
  <c r="C428" i="1"/>
  <c r="D428" i="1"/>
  <c r="E428" i="1"/>
  <c r="A429" i="1"/>
  <c r="C429" i="1"/>
  <c r="D429" i="1"/>
  <c r="E429" i="1"/>
  <c r="A430" i="1"/>
  <c r="C430" i="1"/>
  <c r="D430" i="1"/>
  <c r="E430" i="1"/>
  <c r="A431" i="1"/>
  <c r="C431" i="1"/>
  <c r="D431" i="1"/>
  <c r="E431" i="1"/>
  <c r="A432" i="1"/>
  <c r="C432" i="1"/>
  <c r="D432" i="1"/>
  <c r="E432" i="1"/>
  <c r="A433" i="1"/>
  <c r="C433" i="1"/>
  <c r="D433" i="1"/>
  <c r="E433" i="1"/>
  <c r="A434" i="1"/>
  <c r="C434" i="1"/>
  <c r="D434" i="1"/>
  <c r="E434" i="1"/>
  <c r="A435" i="1"/>
  <c r="C435" i="1"/>
  <c r="D435" i="1"/>
  <c r="E435" i="1"/>
  <c r="A436" i="1"/>
  <c r="C436" i="1"/>
  <c r="D436" i="1"/>
  <c r="E436" i="1"/>
  <c r="A437" i="1"/>
  <c r="C437" i="1"/>
  <c r="D437" i="1"/>
  <c r="E437" i="1"/>
  <c r="A438" i="1"/>
  <c r="C438" i="1"/>
  <c r="D438" i="1"/>
  <c r="E438" i="1"/>
  <c r="A439" i="1"/>
  <c r="C439" i="1"/>
  <c r="D439" i="1"/>
  <c r="E439" i="1"/>
  <c r="A440" i="1"/>
  <c r="C440" i="1"/>
  <c r="D440" i="1"/>
  <c r="E440" i="1"/>
  <c r="A441" i="1"/>
  <c r="C441" i="1"/>
  <c r="D441" i="1"/>
  <c r="E441" i="1"/>
  <c r="A442" i="1"/>
  <c r="C442" i="1"/>
  <c r="D442" i="1"/>
  <c r="E442" i="1"/>
  <c r="A443" i="1"/>
  <c r="C443" i="1"/>
  <c r="D443" i="1"/>
  <c r="E443" i="1"/>
  <c r="A444" i="1"/>
  <c r="C444" i="1"/>
  <c r="D444" i="1"/>
  <c r="E444" i="1"/>
  <c r="A445" i="1"/>
  <c r="C445" i="1"/>
  <c r="D445" i="1"/>
  <c r="E445" i="1"/>
  <c r="A446" i="1"/>
  <c r="C446" i="1"/>
  <c r="D446" i="1"/>
  <c r="E446" i="1"/>
  <c r="A447" i="1"/>
  <c r="C447" i="1"/>
  <c r="D447" i="1"/>
  <c r="E447" i="1"/>
  <c r="A448" i="1"/>
  <c r="C448" i="1"/>
  <c r="D448" i="1"/>
  <c r="E448" i="1"/>
  <c r="A449" i="1"/>
  <c r="C449" i="1"/>
  <c r="D449" i="1"/>
  <c r="E449" i="1"/>
  <c r="A450" i="1"/>
  <c r="C450" i="1"/>
  <c r="D450" i="1"/>
  <c r="E450" i="1"/>
  <c r="A451" i="1"/>
  <c r="C451" i="1"/>
  <c r="D451" i="1"/>
  <c r="E451" i="1"/>
  <c r="A452" i="1"/>
  <c r="C452" i="1"/>
  <c r="D452" i="1"/>
  <c r="E452" i="1"/>
  <c r="A453" i="1"/>
  <c r="C453" i="1"/>
  <c r="D453" i="1"/>
  <c r="E453" i="1"/>
  <c r="A454" i="1"/>
  <c r="C454" i="1"/>
  <c r="D454" i="1"/>
  <c r="E454" i="1"/>
  <c r="A455" i="1"/>
  <c r="C455" i="1"/>
  <c r="D455" i="1"/>
  <c r="E455" i="1"/>
  <c r="A456" i="1"/>
  <c r="C456" i="1"/>
  <c r="D456" i="1"/>
  <c r="E456" i="1"/>
  <c r="A457" i="1"/>
  <c r="C457" i="1"/>
  <c r="D457" i="1"/>
  <c r="E457" i="1"/>
  <c r="A458" i="1"/>
  <c r="C458" i="1"/>
  <c r="D458" i="1"/>
  <c r="E458" i="1"/>
  <c r="A459" i="1"/>
  <c r="C459" i="1"/>
  <c r="D459" i="1"/>
  <c r="E459" i="1"/>
  <c r="A460" i="1"/>
  <c r="C460" i="1"/>
  <c r="D460" i="1"/>
  <c r="E460" i="1"/>
  <c r="A461" i="1"/>
  <c r="C461" i="1"/>
  <c r="D461" i="1"/>
  <c r="E461" i="1"/>
  <c r="A462" i="1"/>
  <c r="C462" i="1"/>
  <c r="D462" i="1"/>
  <c r="E462" i="1"/>
  <c r="A463" i="1"/>
  <c r="C463" i="1"/>
  <c r="D463" i="1"/>
  <c r="E463" i="1"/>
  <c r="A464" i="1"/>
  <c r="C464" i="1"/>
  <c r="D464" i="1"/>
  <c r="E464" i="1"/>
  <c r="A465" i="1"/>
  <c r="C465" i="1"/>
  <c r="D465" i="1"/>
  <c r="E465" i="1"/>
  <c r="A466" i="1"/>
  <c r="C466" i="1"/>
  <c r="D466" i="1"/>
  <c r="E466" i="1"/>
  <c r="A467" i="1"/>
  <c r="C467" i="1"/>
  <c r="D467" i="1"/>
  <c r="E467" i="1"/>
  <c r="A468" i="1"/>
  <c r="C468" i="1"/>
  <c r="D468" i="1"/>
  <c r="E468" i="1"/>
  <c r="A469" i="1"/>
  <c r="C469" i="1"/>
  <c r="D469" i="1"/>
  <c r="E469" i="1"/>
  <c r="A470" i="1"/>
  <c r="C470" i="1"/>
  <c r="D470" i="1"/>
  <c r="E470" i="1"/>
  <c r="A471" i="1"/>
  <c r="C471" i="1"/>
  <c r="D471" i="1"/>
  <c r="E471" i="1"/>
  <c r="A472" i="1"/>
  <c r="C472" i="1"/>
  <c r="D472" i="1"/>
  <c r="E472" i="1"/>
  <c r="A473" i="1"/>
  <c r="C473" i="1"/>
  <c r="D473" i="1"/>
  <c r="E473" i="1"/>
  <c r="A474" i="1"/>
  <c r="C474" i="1"/>
  <c r="D474" i="1"/>
  <c r="E474" i="1"/>
  <c r="A475" i="1"/>
  <c r="C475" i="1"/>
  <c r="D475" i="1"/>
  <c r="E475" i="1"/>
  <c r="A476" i="1"/>
  <c r="C476" i="1"/>
  <c r="D476" i="1"/>
  <c r="E476" i="1"/>
  <c r="A477" i="1"/>
  <c r="C477" i="1"/>
  <c r="D477" i="1"/>
  <c r="E477" i="1"/>
  <c r="A478" i="1"/>
  <c r="C478" i="1"/>
  <c r="D478" i="1"/>
  <c r="E478" i="1"/>
  <c r="A479" i="1"/>
  <c r="C479" i="1"/>
  <c r="D479" i="1"/>
  <c r="E479" i="1"/>
  <c r="A480" i="1"/>
  <c r="C480" i="1"/>
  <c r="D480" i="1"/>
  <c r="E480" i="1"/>
  <c r="A481" i="1"/>
  <c r="C481" i="1"/>
  <c r="D481" i="1"/>
  <c r="E481" i="1"/>
  <c r="A482" i="1"/>
  <c r="C482" i="1"/>
  <c r="D482" i="1"/>
  <c r="E482" i="1"/>
  <c r="A483" i="1"/>
  <c r="C483" i="1"/>
  <c r="D483" i="1"/>
  <c r="E483" i="1"/>
  <c r="A484" i="1"/>
  <c r="C484" i="1"/>
  <c r="D484" i="1"/>
  <c r="E484" i="1"/>
  <c r="A485" i="1"/>
  <c r="C485" i="1"/>
  <c r="D485" i="1"/>
  <c r="E485" i="1"/>
  <c r="A486" i="1"/>
  <c r="C486" i="1"/>
  <c r="D486" i="1"/>
  <c r="E486" i="1"/>
  <c r="A487" i="1"/>
  <c r="C487" i="1"/>
  <c r="D487" i="1"/>
  <c r="E487" i="1"/>
  <c r="A488" i="1"/>
  <c r="C488" i="1"/>
  <c r="D488" i="1"/>
  <c r="E488" i="1"/>
  <c r="A489" i="1"/>
  <c r="C489" i="1"/>
  <c r="D489" i="1"/>
  <c r="E489" i="1"/>
  <c r="A490" i="1"/>
  <c r="C490" i="1"/>
  <c r="D490" i="1"/>
  <c r="E490" i="1"/>
  <c r="A491" i="1"/>
  <c r="C491" i="1"/>
  <c r="D491" i="1"/>
  <c r="E491" i="1"/>
  <c r="A492" i="1"/>
  <c r="C492" i="1"/>
  <c r="D492" i="1"/>
  <c r="E492" i="1"/>
  <c r="A493" i="1"/>
  <c r="C493" i="1"/>
  <c r="D493" i="1"/>
  <c r="E493" i="1"/>
  <c r="A494" i="1"/>
  <c r="C494" i="1"/>
  <c r="D494" i="1"/>
  <c r="E494" i="1"/>
  <c r="A495" i="1"/>
  <c r="C495" i="1"/>
  <c r="D495" i="1"/>
  <c r="E495" i="1"/>
  <c r="A496" i="1"/>
  <c r="C496" i="1"/>
  <c r="D496" i="1"/>
  <c r="E496" i="1"/>
  <c r="A497" i="1"/>
  <c r="C497" i="1"/>
  <c r="D497" i="1"/>
  <c r="E497" i="1"/>
  <c r="A498" i="1"/>
  <c r="C498" i="1"/>
  <c r="D498" i="1"/>
  <c r="E498" i="1"/>
  <c r="A499" i="1"/>
  <c r="C499" i="1"/>
  <c r="D499" i="1"/>
  <c r="E499" i="1"/>
  <c r="A500" i="1"/>
  <c r="C500" i="1"/>
  <c r="D500" i="1"/>
  <c r="E500" i="1"/>
  <c r="A501" i="1"/>
  <c r="C501" i="1"/>
  <c r="D501" i="1"/>
  <c r="E501" i="1"/>
  <c r="A502" i="1"/>
  <c r="C502" i="1"/>
  <c r="D502" i="1"/>
  <c r="E502" i="1"/>
  <c r="A503" i="1"/>
  <c r="C503" i="1"/>
  <c r="D503" i="1"/>
  <c r="E503" i="1"/>
  <c r="A504" i="1"/>
  <c r="C504" i="1"/>
  <c r="D504" i="1"/>
  <c r="E504" i="1"/>
  <c r="A505" i="1"/>
  <c r="C505" i="1"/>
  <c r="D505" i="1"/>
  <c r="E505" i="1"/>
  <c r="A506" i="1"/>
  <c r="C506" i="1"/>
  <c r="D506" i="1"/>
  <c r="E506" i="1"/>
  <c r="A507" i="1"/>
  <c r="C507" i="1"/>
  <c r="D507" i="1"/>
  <c r="E507" i="1"/>
  <c r="A508" i="1"/>
  <c r="C508" i="1"/>
  <c r="D508" i="1"/>
  <c r="E508" i="1"/>
  <c r="A509" i="1"/>
  <c r="C509" i="1"/>
  <c r="D509" i="1"/>
  <c r="E509" i="1"/>
  <c r="A510" i="1"/>
  <c r="C510" i="1"/>
  <c r="D510" i="1"/>
  <c r="E510" i="1"/>
  <c r="A511" i="1"/>
  <c r="C511" i="1"/>
  <c r="D511" i="1"/>
  <c r="E511" i="1"/>
  <c r="A512" i="1"/>
  <c r="C512" i="1"/>
  <c r="D512" i="1"/>
  <c r="E512" i="1"/>
  <c r="A513" i="1"/>
  <c r="C513" i="1"/>
  <c r="D513" i="1"/>
  <c r="E513" i="1"/>
  <c r="A514" i="1"/>
  <c r="C514" i="1"/>
  <c r="D514" i="1"/>
  <c r="E514" i="1"/>
  <c r="A515" i="1"/>
  <c r="C515" i="1"/>
  <c r="D515" i="1"/>
  <c r="E515" i="1"/>
  <c r="A516" i="1"/>
  <c r="C516" i="1"/>
  <c r="D516" i="1"/>
  <c r="E516" i="1"/>
  <c r="A517" i="1"/>
  <c r="C517" i="1"/>
  <c r="D517" i="1"/>
  <c r="E517" i="1"/>
  <c r="A518" i="1"/>
  <c r="C518" i="1"/>
  <c r="D518" i="1"/>
  <c r="E518" i="1"/>
  <c r="A519" i="1"/>
  <c r="C519" i="1"/>
  <c r="D519" i="1"/>
  <c r="E519" i="1"/>
  <c r="A520" i="1"/>
  <c r="C520" i="1"/>
  <c r="D520" i="1"/>
  <c r="E520" i="1"/>
  <c r="A521" i="1"/>
  <c r="C521" i="1"/>
  <c r="D521" i="1"/>
  <c r="E521" i="1"/>
  <c r="A522" i="1"/>
  <c r="C522" i="1"/>
  <c r="D522" i="1"/>
  <c r="E522" i="1"/>
  <c r="A523" i="1"/>
  <c r="C523" i="1"/>
  <c r="D523" i="1"/>
  <c r="E523" i="1"/>
  <c r="A524" i="1"/>
  <c r="C524" i="1"/>
  <c r="D524" i="1"/>
  <c r="E524" i="1"/>
  <c r="A525" i="1"/>
  <c r="C525" i="1"/>
  <c r="D525" i="1"/>
  <c r="E525" i="1"/>
  <c r="A526" i="1"/>
  <c r="C526" i="1"/>
  <c r="D526" i="1"/>
  <c r="E526" i="1"/>
  <c r="A527" i="1"/>
  <c r="C527" i="1"/>
  <c r="D527" i="1"/>
  <c r="E527" i="1"/>
  <c r="A528" i="1"/>
  <c r="C528" i="1"/>
  <c r="D528" i="1"/>
  <c r="E528" i="1"/>
  <c r="A529" i="1"/>
  <c r="C529" i="1"/>
  <c r="D529" i="1"/>
  <c r="E529" i="1"/>
  <c r="A530" i="1"/>
  <c r="C530" i="1"/>
  <c r="D530" i="1"/>
  <c r="E530" i="1"/>
  <c r="A531" i="1"/>
  <c r="C531" i="1"/>
  <c r="D531" i="1"/>
  <c r="E531" i="1"/>
  <c r="A532" i="1"/>
  <c r="C532" i="1"/>
  <c r="D532" i="1"/>
  <c r="E532" i="1"/>
  <c r="A533" i="1"/>
  <c r="C533" i="1"/>
  <c r="D533" i="1"/>
  <c r="E533" i="1"/>
  <c r="A534" i="1"/>
  <c r="C534" i="1"/>
  <c r="D534" i="1"/>
  <c r="E534" i="1"/>
  <c r="A535" i="1"/>
  <c r="C535" i="1"/>
  <c r="D535" i="1"/>
  <c r="E535" i="1"/>
  <c r="A536" i="1"/>
  <c r="C536" i="1"/>
  <c r="D536" i="1"/>
  <c r="E536" i="1"/>
  <c r="A537" i="1"/>
  <c r="C537" i="1"/>
  <c r="D537" i="1"/>
  <c r="E537" i="1"/>
  <c r="A538" i="1"/>
  <c r="C538" i="1"/>
  <c r="D538" i="1"/>
  <c r="E538" i="1"/>
  <c r="A539" i="1"/>
  <c r="C539" i="1"/>
  <c r="D539" i="1"/>
  <c r="E539" i="1"/>
  <c r="A540" i="1"/>
  <c r="C540" i="1"/>
  <c r="D540" i="1"/>
  <c r="E540" i="1"/>
  <c r="A541" i="1"/>
  <c r="C541" i="1"/>
  <c r="D541" i="1"/>
  <c r="E541" i="1"/>
  <c r="A542" i="1"/>
  <c r="C542" i="1"/>
  <c r="D542" i="1"/>
  <c r="E542" i="1"/>
  <c r="A543" i="1"/>
  <c r="C543" i="1"/>
  <c r="D543" i="1"/>
  <c r="E543" i="1"/>
  <c r="A544" i="1"/>
  <c r="C544" i="1"/>
  <c r="D544" i="1"/>
  <c r="E544" i="1"/>
  <c r="A545" i="1"/>
  <c r="C545" i="1"/>
  <c r="D545" i="1"/>
  <c r="E545" i="1"/>
  <c r="A546" i="1"/>
  <c r="C546" i="1"/>
  <c r="D546" i="1"/>
  <c r="E546" i="1"/>
  <c r="A547" i="1"/>
  <c r="C547" i="1"/>
  <c r="D547" i="1"/>
  <c r="E547" i="1"/>
  <c r="A548" i="1"/>
  <c r="C548" i="1"/>
  <c r="D548" i="1"/>
  <c r="E548" i="1"/>
  <c r="A549" i="1"/>
  <c r="C549" i="1"/>
  <c r="D549" i="1"/>
  <c r="E549" i="1"/>
  <c r="A550" i="1"/>
  <c r="C550" i="1"/>
  <c r="D550" i="1"/>
  <c r="E550" i="1"/>
  <c r="A551" i="1"/>
  <c r="C551" i="1"/>
  <c r="D551" i="1"/>
  <c r="E551" i="1"/>
  <c r="A552" i="1"/>
  <c r="C552" i="1"/>
  <c r="D552" i="1"/>
  <c r="E552" i="1"/>
  <c r="A553" i="1"/>
  <c r="C553" i="1"/>
  <c r="D553" i="1"/>
  <c r="E553" i="1"/>
  <c r="A554" i="1"/>
  <c r="C554" i="1"/>
  <c r="D554" i="1"/>
  <c r="E554" i="1"/>
  <c r="A555" i="1"/>
  <c r="C555" i="1"/>
  <c r="D555" i="1"/>
  <c r="E555" i="1"/>
  <c r="A556" i="1"/>
  <c r="C556" i="1"/>
  <c r="D556" i="1"/>
  <c r="E556" i="1"/>
  <c r="A557" i="1"/>
  <c r="C557" i="1"/>
  <c r="D557" i="1"/>
  <c r="E557" i="1"/>
  <c r="A558" i="1"/>
  <c r="C558" i="1"/>
  <c r="D558" i="1"/>
  <c r="E558" i="1"/>
  <c r="A559" i="1"/>
  <c r="C559" i="1"/>
  <c r="D559" i="1"/>
  <c r="E559" i="1"/>
  <c r="A560" i="1"/>
  <c r="C560" i="1"/>
  <c r="D560" i="1"/>
  <c r="E560" i="1"/>
  <c r="A561" i="1"/>
  <c r="C561" i="1"/>
  <c r="D561" i="1"/>
  <c r="E561" i="1"/>
  <c r="A562" i="1"/>
  <c r="C562" i="1"/>
  <c r="D562" i="1"/>
  <c r="E562" i="1"/>
  <c r="A563" i="1"/>
  <c r="C563" i="1"/>
  <c r="D563" i="1"/>
  <c r="E563" i="1"/>
  <c r="A564" i="1"/>
  <c r="C564" i="1"/>
  <c r="D564" i="1"/>
  <c r="E564" i="1"/>
  <c r="A565" i="1"/>
  <c r="C565" i="1"/>
  <c r="D565" i="1"/>
  <c r="E565" i="1"/>
  <c r="A566" i="1"/>
  <c r="C566" i="1"/>
  <c r="D566" i="1"/>
  <c r="E566" i="1"/>
  <c r="A567" i="1"/>
  <c r="C567" i="1"/>
  <c r="D567" i="1"/>
  <c r="E567" i="1"/>
  <c r="A568" i="1"/>
  <c r="C568" i="1"/>
  <c r="D568" i="1"/>
  <c r="E568" i="1"/>
  <c r="A569" i="1"/>
  <c r="C569" i="1"/>
  <c r="D569" i="1"/>
  <c r="E569" i="1"/>
  <c r="A570" i="1"/>
  <c r="C570" i="1"/>
  <c r="D570" i="1"/>
  <c r="E570" i="1"/>
  <c r="A571" i="1"/>
  <c r="C571" i="1"/>
  <c r="D571" i="1"/>
  <c r="E571" i="1"/>
  <c r="A572" i="1"/>
  <c r="C572" i="1"/>
  <c r="D572" i="1"/>
  <c r="E572" i="1"/>
  <c r="A573" i="1"/>
  <c r="C573" i="1"/>
  <c r="D573" i="1"/>
  <c r="E573" i="1"/>
  <c r="A574" i="1"/>
  <c r="C574" i="1"/>
  <c r="D574" i="1"/>
  <c r="E574" i="1"/>
  <c r="A575" i="1"/>
  <c r="C575" i="1"/>
  <c r="D575" i="1"/>
  <c r="E575" i="1"/>
  <c r="A576" i="1"/>
  <c r="C576" i="1"/>
  <c r="D576" i="1"/>
  <c r="E576" i="1"/>
  <c r="A577" i="1"/>
  <c r="C577" i="1"/>
  <c r="D577" i="1"/>
  <c r="E577" i="1"/>
  <c r="A578" i="1"/>
  <c r="C578" i="1"/>
  <c r="D578" i="1"/>
  <c r="E578" i="1"/>
  <c r="A579" i="1"/>
  <c r="C579" i="1"/>
  <c r="D579" i="1"/>
  <c r="E579" i="1"/>
  <c r="A580" i="1"/>
  <c r="C580" i="1"/>
  <c r="D580" i="1"/>
  <c r="E580" i="1"/>
  <c r="A581" i="1"/>
  <c r="C581" i="1"/>
  <c r="D581" i="1"/>
  <c r="E581" i="1"/>
  <c r="A582" i="1"/>
  <c r="C582" i="1"/>
  <c r="D582" i="1"/>
  <c r="E582" i="1"/>
  <c r="A583" i="1"/>
  <c r="C583" i="1"/>
  <c r="D583" i="1"/>
  <c r="E583" i="1"/>
  <c r="A584" i="1"/>
  <c r="C584" i="1"/>
  <c r="D584" i="1"/>
  <c r="E584" i="1"/>
  <c r="A585" i="1"/>
  <c r="C585" i="1"/>
  <c r="D585" i="1"/>
  <c r="E585" i="1"/>
  <c r="A586" i="1"/>
  <c r="C586" i="1"/>
  <c r="D586" i="1"/>
  <c r="E586" i="1"/>
  <c r="A587" i="1"/>
  <c r="C587" i="1"/>
  <c r="D587" i="1"/>
  <c r="E587" i="1"/>
  <c r="A588" i="1"/>
  <c r="C588" i="1"/>
  <c r="D588" i="1"/>
  <c r="E588" i="1"/>
  <c r="A589" i="1"/>
  <c r="C589" i="1"/>
  <c r="D589" i="1"/>
  <c r="E589" i="1"/>
  <c r="A590" i="1"/>
  <c r="C590" i="1"/>
  <c r="D590" i="1"/>
  <c r="E590" i="1"/>
  <c r="A591" i="1"/>
  <c r="C591" i="1"/>
  <c r="D591" i="1"/>
  <c r="E591" i="1"/>
  <c r="A592" i="1"/>
  <c r="C592" i="1"/>
  <c r="D592" i="1"/>
  <c r="E592" i="1"/>
  <c r="A593" i="1"/>
  <c r="C593" i="1"/>
  <c r="D593" i="1"/>
  <c r="E593" i="1"/>
  <c r="A594" i="1"/>
  <c r="C594" i="1"/>
  <c r="D594" i="1"/>
  <c r="E594" i="1"/>
  <c r="A595" i="1"/>
  <c r="C595" i="1"/>
  <c r="D595" i="1"/>
  <c r="E595" i="1"/>
  <c r="A596" i="1"/>
  <c r="C596" i="1"/>
  <c r="D596" i="1"/>
  <c r="E596" i="1"/>
  <c r="A597" i="1"/>
  <c r="C597" i="1"/>
  <c r="D597" i="1"/>
  <c r="E597" i="1"/>
  <c r="A598" i="1"/>
  <c r="C598" i="1"/>
  <c r="D598" i="1"/>
  <c r="E598" i="1"/>
  <c r="A599" i="1"/>
  <c r="C599" i="1"/>
  <c r="D599" i="1"/>
  <c r="E599" i="1"/>
  <c r="A600" i="1"/>
  <c r="C600" i="1"/>
  <c r="D600" i="1"/>
  <c r="E600" i="1"/>
  <c r="A601" i="1"/>
  <c r="C601" i="1"/>
  <c r="D601" i="1"/>
  <c r="E601" i="1"/>
  <c r="A602" i="1"/>
  <c r="C602" i="1"/>
  <c r="D602" i="1"/>
  <c r="E602" i="1"/>
  <c r="A603" i="1"/>
  <c r="C603" i="1"/>
  <c r="D603" i="1"/>
  <c r="E603" i="1"/>
  <c r="A604" i="1"/>
  <c r="C604" i="1"/>
  <c r="D604" i="1"/>
  <c r="E604" i="1"/>
  <c r="A605" i="1"/>
  <c r="C605" i="1"/>
  <c r="D605" i="1"/>
  <c r="E605" i="1"/>
  <c r="A606" i="1"/>
  <c r="C606" i="1"/>
  <c r="D606" i="1"/>
  <c r="E606" i="1"/>
  <c r="A607" i="1"/>
  <c r="C607" i="1"/>
  <c r="D607" i="1"/>
  <c r="E607" i="1"/>
  <c r="A608" i="1"/>
  <c r="C608" i="1"/>
  <c r="D608" i="1"/>
  <c r="E608" i="1"/>
  <c r="A609" i="1"/>
  <c r="C609" i="1"/>
  <c r="D609" i="1"/>
  <c r="E609" i="1"/>
  <c r="A610" i="1"/>
  <c r="C610" i="1"/>
  <c r="D610" i="1"/>
  <c r="E610" i="1"/>
  <c r="A611" i="1"/>
  <c r="C611" i="1"/>
  <c r="D611" i="1"/>
  <c r="E611" i="1"/>
  <c r="A612" i="1"/>
  <c r="C612" i="1"/>
  <c r="D612" i="1"/>
  <c r="E612" i="1"/>
  <c r="A613" i="1"/>
  <c r="C613" i="1"/>
  <c r="D613" i="1"/>
  <c r="E613" i="1"/>
  <c r="A614" i="1"/>
  <c r="C614" i="1"/>
  <c r="D614" i="1"/>
  <c r="E614" i="1"/>
  <c r="A615" i="1"/>
  <c r="C615" i="1"/>
  <c r="D615" i="1"/>
  <c r="E615" i="1"/>
  <c r="A616" i="1"/>
  <c r="C616" i="1"/>
  <c r="D616" i="1"/>
  <c r="E616" i="1"/>
  <c r="A617" i="1"/>
  <c r="C617" i="1"/>
  <c r="D617" i="1"/>
  <c r="E617" i="1"/>
  <c r="A618" i="1"/>
  <c r="C618" i="1"/>
  <c r="D618" i="1"/>
  <c r="E618" i="1"/>
  <c r="A619" i="1"/>
  <c r="C619" i="1"/>
  <c r="D619" i="1"/>
  <c r="E619" i="1"/>
  <c r="A620" i="1"/>
  <c r="C620" i="1"/>
  <c r="D620" i="1"/>
  <c r="E620" i="1"/>
  <c r="A621" i="1"/>
  <c r="C621" i="1"/>
  <c r="D621" i="1"/>
  <c r="E621" i="1"/>
  <c r="A622" i="1"/>
  <c r="C622" i="1"/>
  <c r="D622" i="1"/>
  <c r="E622" i="1"/>
  <c r="A623" i="1"/>
  <c r="C623" i="1"/>
  <c r="D623" i="1"/>
  <c r="E623" i="1"/>
  <c r="A624" i="1"/>
  <c r="C624" i="1"/>
  <c r="D624" i="1"/>
  <c r="E624" i="1"/>
  <c r="A625" i="1"/>
  <c r="C625" i="1"/>
  <c r="D625" i="1"/>
  <c r="E625" i="1"/>
  <c r="A626" i="1"/>
  <c r="C626" i="1"/>
  <c r="D626" i="1"/>
  <c r="E626" i="1"/>
  <c r="A627" i="1"/>
  <c r="C627" i="1"/>
  <c r="D627" i="1"/>
  <c r="E627" i="1"/>
  <c r="A628" i="1"/>
  <c r="C628" i="1"/>
  <c r="D628" i="1"/>
  <c r="E628" i="1"/>
  <c r="A629" i="1"/>
  <c r="C629" i="1"/>
  <c r="D629" i="1"/>
  <c r="E629" i="1"/>
  <c r="A630" i="1"/>
  <c r="C630" i="1"/>
  <c r="D630" i="1"/>
  <c r="E630" i="1"/>
  <c r="A631" i="1"/>
  <c r="C631" i="1"/>
  <c r="D631" i="1"/>
  <c r="E631" i="1"/>
  <c r="A632" i="1"/>
  <c r="C632" i="1"/>
  <c r="D632" i="1"/>
  <c r="E632" i="1"/>
  <c r="A633" i="1"/>
  <c r="C633" i="1"/>
  <c r="D633" i="1"/>
  <c r="E633" i="1"/>
  <c r="A634" i="1"/>
  <c r="C634" i="1"/>
  <c r="D634" i="1"/>
  <c r="E634" i="1"/>
  <c r="A635" i="1"/>
  <c r="C635" i="1"/>
  <c r="D635" i="1"/>
  <c r="E635" i="1"/>
  <c r="A636" i="1"/>
  <c r="C636" i="1"/>
  <c r="D636" i="1"/>
  <c r="E636" i="1"/>
  <c r="A637" i="1"/>
  <c r="C637" i="1"/>
  <c r="D637" i="1"/>
  <c r="E637" i="1"/>
  <c r="A638" i="1"/>
  <c r="C638" i="1"/>
  <c r="D638" i="1"/>
  <c r="E638" i="1"/>
  <c r="A639" i="1"/>
  <c r="C639" i="1"/>
  <c r="D639" i="1"/>
  <c r="E639" i="1"/>
  <c r="A640" i="1"/>
  <c r="C640" i="1"/>
  <c r="D640" i="1"/>
  <c r="E640" i="1"/>
  <c r="A641" i="1"/>
  <c r="C641" i="1"/>
  <c r="D641" i="1"/>
  <c r="E641" i="1"/>
  <c r="A642" i="1"/>
  <c r="C642" i="1"/>
  <c r="D642" i="1"/>
  <c r="E642" i="1"/>
  <c r="A643" i="1"/>
  <c r="C643" i="1"/>
  <c r="D643" i="1"/>
  <c r="E643" i="1"/>
  <c r="A644" i="1"/>
  <c r="C644" i="1"/>
  <c r="D644" i="1"/>
  <c r="E644" i="1"/>
  <c r="A645" i="1"/>
  <c r="C645" i="1"/>
  <c r="D645" i="1"/>
  <c r="E645" i="1"/>
  <c r="A646" i="1"/>
  <c r="C646" i="1"/>
  <c r="D646" i="1"/>
  <c r="E646" i="1"/>
  <c r="A647" i="1"/>
  <c r="C647" i="1"/>
  <c r="D647" i="1"/>
  <c r="E647" i="1"/>
  <c r="A648" i="1"/>
  <c r="C648" i="1"/>
  <c r="D648" i="1"/>
  <c r="E648" i="1"/>
  <c r="A649" i="1"/>
  <c r="C649" i="1"/>
  <c r="D649" i="1"/>
  <c r="E649" i="1"/>
  <c r="A650" i="1"/>
  <c r="C650" i="1"/>
  <c r="D650" i="1"/>
  <c r="E650" i="1"/>
  <c r="A651" i="1"/>
  <c r="C651" i="1"/>
  <c r="D651" i="1"/>
  <c r="E651" i="1"/>
  <c r="A652" i="1"/>
  <c r="C652" i="1"/>
  <c r="D652" i="1"/>
  <c r="E652" i="1"/>
  <c r="A653" i="1"/>
  <c r="C653" i="1"/>
  <c r="D653" i="1"/>
  <c r="E653" i="1"/>
  <c r="A654" i="1"/>
  <c r="C654" i="1"/>
  <c r="D654" i="1"/>
  <c r="E654" i="1"/>
  <c r="A655" i="1"/>
  <c r="C655" i="1"/>
  <c r="D655" i="1"/>
  <c r="E655" i="1"/>
  <c r="A656" i="1"/>
  <c r="C656" i="1"/>
  <c r="D656" i="1"/>
  <c r="E656" i="1"/>
  <c r="A657" i="1"/>
  <c r="C657" i="1"/>
  <c r="D657" i="1"/>
  <c r="E657" i="1"/>
  <c r="A658" i="1"/>
  <c r="C658" i="1"/>
  <c r="D658" i="1"/>
  <c r="E658" i="1"/>
  <c r="A659" i="1"/>
  <c r="C659" i="1"/>
  <c r="D659" i="1"/>
  <c r="E659" i="1"/>
  <c r="A660" i="1"/>
  <c r="C660" i="1"/>
  <c r="D660" i="1"/>
  <c r="E660" i="1"/>
  <c r="A661" i="1"/>
  <c r="C661" i="1"/>
  <c r="D661" i="1"/>
  <c r="E661" i="1"/>
  <c r="A662" i="1"/>
  <c r="C662" i="1"/>
  <c r="D662" i="1"/>
  <c r="E662" i="1"/>
  <c r="A663" i="1"/>
  <c r="C663" i="1"/>
  <c r="D663" i="1"/>
  <c r="E663" i="1"/>
  <c r="A664" i="1"/>
  <c r="C664" i="1"/>
  <c r="D664" i="1"/>
  <c r="E664" i="1"/>
  <c r="A665" i="1"/>
  <c r="C665" i="1"/>
  <c r="D665" i="1"/>
  <c r="E665" i="1"/>
  <c r="A666" i="1"/>
  <c r="C666" i="1"/>
  <c r="D666" i="1"/>
  <c r="E666" i="1"/>
  <c r="A667" i="1"/>
  <c r="C667" i="1"/>
  <c r="D667" i="1"/>
  <c r="E667" i="1"/>
  <c r="A668" i="1"/>
  <c r="C668" i="1"/>
  <c r="D668" i="1"/>
  <c r="E668" i="1"/>
  <c r="A669" i="1"/>
  <c r="C669" i="1"/>
  <c r="D669" i="1"/>
  <c r="E669" i="1"/>
  <c r="A670" i="1"/>
  <c r="C670" i="1"/>
  <c r="D670" i="1"/>
  <c r="E670" i="1"/>
  <c r="A671" i="1"/>
  <c r="C671" i="1"/>
  <c r="D671" i="1"/>
  <c r="E671" i="1"/>
  <c r="A672" i="1"/>
  <c r="C672" i="1"/>
  <c r="D672" i="1"/>
  <c r="E672" i="1"/>
  <c r="A673" i="1"/>
  <c r="C673" i="1"/>
  <c r="D673" i="1"/>
  <c r="E673" i="1"/>
  <c r="A674" i="1"/>
  <c r="C674" i="1"/>
  <c r="D674" i="1"/>
  <c r="E674" i="1"/>
  <c r="A675" i="1"/>
  <c r="C675" i="1"/>
  <c r="D675" i="1"/>
  <c r="E675" i="1"/>
  <c r="A676" i="1"/>
  <c r="C676" i="1"/>
  <c r="D676" i="1"/>
  <c r="E676" i="1"/>
  <c r="A677" i="1"/>
  <c r="C677" i="1"/>
  <c r="D677" i="1"/>
  <c r="E677" i="1"/>
  <c r="A678" i="1"/>
  <c r="C678" i="1"/>
  <c r="D678" i="1"/>
  <c r="E678" i="1"/>
  <c r="A679" i="1"/>
  <c r="C679" i="1"/>
  <c r="D679" i="1"/>
  <c r="E679" i="1"/>
  <c r="A680" i="1"/>
  <c r="C680" i="1"/>
  <c r="D680" i="1"/>
  <c r="E680" i="1"/>
  <c r="A681" i="1"/>
  <c r="C681" i="1"/>
  <c r="D681" i="1"/>
  <c r="E681" i="1"/>
  <c r="A682" i="1"/>
  <c r="C682" i="1"/>
  <c r="D682" i="1"/>
  <c r="E682" i="1"/>
  <c r="A683" i="1"/>
  <c r="C683" i="1"/>
  <c r="D683" i="1"/>
  <c r="E683" i="1"/>
  <c r="A684" i="1"/>
  <c r="C684" i="1"/>
  <c r="D684" i="1"/>
  <c r="E684" i="1"/>
  <c r="A685" i="1"/>
  <c r="C685" i="1"/>
  <c r="D685" i="1"/>
  <c r="E685" i="1"/>
  <c r="A686" i="1"/>
  <c r="C686" i="1"/>
  <c r="D686" i="1"/>
  <c r="E686" i="1"/>
  <c r="A687" i="1"/>
  <c r="C687" i="1"/>
  <c r="D687" i="1"/>
  <c r="E687" i="1"/>
  <c r="A688" i="1"/>
  <c r="C688" i="1"/>
  <c r="D688" i="1"/>
  <c r="E688" i="1"/>
  <c r="A689" i="1"/>
  <c r="C689" i="1"/>
  <c r="D689" i="1"/>
  <c r="E689" i="1"/>
  <c r="A690" i="1"/>
  <c r="C690" i="1"/>
  <c r="D690" i="1"/>
  <c r="E690" i="1"/>
  <c r="A691" i="1"/>
  <c r="C691" i="1"/>
  <c r="D691" i="1"/>
  <c r="E691" i="1"/>
  <c r="A692" i="1"/>
  <c r="C692" i="1"/>
  <c r="D692" i="1"/>
  <c r="E692" i="1"/>
  <c r="A693" i="1"/>
  <c r="C693" i="1"/>
  <c r="D693" i="1"/>
  <c r="E693" i="1"/>
  <c r="A694" i="1"/>
  <c r="C694" i="1"/>
  <c r="D694" i="1"/>
  <c r="E694" i="1"/>
  <c r="A695" i="1"/>
  <c r="C695" i="1"/>
  <c r="D695" i="1"/>
  <c r="E695" i="1"/>
  <c r="A696" i="1"/>
  <c r="C696" i="1"/>
  <c r="D696" i="1"/>
  <c r="E696" i="1"/>
  <c r="A697" i="1"/>
  <c r="C697" i="1"/>
  <c r="D697" i="1"/>
  <c r="E697" i="1"/>
  <c r="A698" i="1"/>
  <c r="C698" i="1"/>
  <c r="D698" i="1"/>
  <c r="E698" i="1"/>
  <c r="A699" i="1"/>
  <c r="C699" i="1"/>
  <c r="D699" i="1"/>
  <c r="E699" i="1"/>
  <c r="A700" i="1"/>
  <c r="C700" i="1"/>
  <c r="D700" i="1"/>
  <c r="E700" i="1"/>
  <c r="A701" i="1"/>
  <c r="C701" i="1"/>
  <c r="D701" i="1"/>
  <c r="E701" i="1"/>
  <c r="A702" i="1"/>
  <c r="C702" i="1"/>
  <c r="D702" i="1"/>
  <c r="E702" i="1"/>
  <c r="A703" i="1"/>
  <c r="C703" i="1"/>
  <c r="D703" i="1"/>
  <c r="E703" i="1"/>
  <c r="A704" i="1"/>
  <c r="C704" i="1"/>
  <c r="D704" i="1"/>
  <c r="E704" i="1"/>
  <c r="A705" i="1"/>
  <c r="C705" i="1"/>
  <c r="D705" i="1"/>
  <c r="E705" i="1"/>
  <c r="A706" i="1"/>
  <c r="C706" i="1"/>
  <c r="D706" i="1"/>
  <c r="E706" i="1"/>
  <c r="A707" i="1"/>
  <c r="C707" i="1"/>
  <c r="D707" i="1"/>
  <c r="E707" i="1"/>
  <c r="A708" i="1"/>
  <c r="C708" i="1"/>
  <c r="D708" i="1"/>
  <c r="E708" i="1"/>
  <c r="A709" i="1"/>
  <c r="C709" i="1"/>
  <c r="D709" i="1"/>
  <c r="E709" i="1"/>
  <c r="A710" i="1"/>
  <c r="C710" i="1"/>
  <c r="D710" i="1"/>
  <c r="E710" i="1"/>
  <c r="A711" i="1"/>
  <c r="C711" i="1"/>
  <c r="D711" i="1"/>
  <c r="E711" i="1"/>
  <c r="A712" i="1"/>
  <c r="C712" i="1"/>
  <c r="D712" i="1"/>
  <c r="E712" i="1"/>
  <c r="A713" i="1"/>
  <c r="C713" i="1"/>
  <c r="D713" i="1"/>
  <c r="E713" i="1"/>
  <c r="A714" i="1"/>
  <c r="C714" i="1"/>
  <c r="D714" i="1"/>
  <c r="E714" i="1"/>
  <c r="A715" i="1"/>
  <c r="C715" i="1"/>
  <c r="D715" i="1"/>
  <c r="E715" i="1"/>
  <c r="A716" i="1"/>
  <c r="C716" i="1"/>
  <c r="D716" i="1"/>
  <c r="E716" i="1"/>
  <c r="A717" i="1"/>
  <c r="C717" i="1"/>
  <c r="D717" i="1"/>
  <c r="E717" i="1"/>
  <c r="A718" i="1"/>
  <c r="C718" i="1"/>
  <c r="D718" i="1"/>
  <c r="E718" i="1"/>
  <c r="A719" i="1"/>
  <c r="C719" i="1"/>
  <c r="D719" i="1"/>
  <c r="E719" i="1"/>
  <c r="A720" i="1"/>
  <c r="C720" i="1"/>
  <c r="D720" i="1"/>
  <c r="E720" i="1"/>
  <c r="A721" i="1"/>
  <c r="C721" i="1"/>
  <c r="D721" i="1"/>
  <c r="E721" i="1"/>
  <c r="A722" i="1"/>
  <c r="C722" i="1"/>
  <c r="D722" i="1"/>
  <c r="E722" i="1"/>
  <c r="A723" i="1"/>
  <c r="C723" i="1"/>
  <c r="D723" i="1"/>
  <c r="E723" i="1"/>
  <c r="A724" i="1"/>
  <c r="C724" i="1"/>
  <c r="D724" i="1"/>
  <c r="E724" i="1"/>
  <c r="A725" i="1"/>
  <c r="C725" i="1"/>
  <c r="D725" i="1"/>
  <c r="E725" i="1"/>
  <c r="A726" i="1"/>
  <c r="C726" i="1"/>
  <c r="D726" i="1"/>
  <c r="E726" i="1"/>
  <c r="A727" i="1"/>
  <c r="C727" i="1"/>
  <c r="D727" i="1"/>
  <c r="E727" i="1"/>
  <c r="A728" i="1"/>
  <c r="C728" i="1"/>
  <c r="D728" i="1"/>
  <c r="E728" i="1"/>
  <c r="A729" i="1"/>
  <c r="C729" i="1"/>
  <c r="D729" i="1"/>
  <c r="E729" i="1"/>
  <c r="A730" i="1"/>
  <c r="C730" i="1"/>
  <c r="D730" i="1"/>
  <c r="E730" i="1"/>
  <c r="A731" i="1"/>
  <c r="C731" i="1"/>
  <c r="D731" i="1"/>
  <c r="E731" i="1"/>
  <c r="A732" i="1"/>
  <c r="C732" i="1"/>
  <c r="D732" i="1"/>
  <c r="E732" i="1"/>
  <c r="A733" i="1"/>
  <c r="C733" i="1"/>
  <c r="D733" i="1"/>
  <c r="E733" i="1"/>
  <c r="A734" i="1"/>
  <c r="C734" i="1"/>
  <c r="D734" i="1"/>
  <c r="E734" i="1"/>
  <c r="A735" i="1"/>
  <c r="C735" i="1"/>
  <c r="D735" i="1"/>
  <c r="E735" i="1"/>
  <c r="A736" i="1"/>
  <c r="C736" i="1"/>
  <c r="D736" i="1"/>
  <c r="E736" i="1"/>
  <c r="A737" i="1"/>
  <c r="C737" i="1"/>
  <c r="D737" i="1"/>
  <c r="E737" i="1"/>
  <c r="A738" i="1"/>
  <c r="C738" i="1"/>
  <c r="D738" i="1"/>
  <c r="E738" i="1"/>
  <c r="A739" i="1"/>
  <c r="C739" i="1"/>
  <c r="D739" i="1"/>
  <c r="E739" i="1"/>
  <c r="A740" i="1"/>
  <c r="C740" i="1"/>
  <c r="D740" i="1"/>
  <c r="E740" i="1"/>
  <c r="A741" i="1"/>
  <c r="C741" i="1"/>
  <c r="D741" i="1"/>
  <c r="E741" i="1"/>
  <c r="A742" i="1"/>
  <c r="C742" i="1"/>
  <c r="D742" i="1"/>
  <c r="E742" i="1"/>
  <c r="A743" i="1"/>
  <c r="C743" i="1"/>
  <c r="D743" i="1"/>
  <c r="E743" i="1"/>
  <c r="A744" i="1"/>
  <c r="C744" i="1"/>
  <c r="D744" i="1"/>
  <c r="E744" i="1"/>
  <c r="A745" i="1"/>
  <c r="C745" i="1"/>
  <c r="D745" i="1"/>
  <c r="E745" i="1"/>
  <c r="A746" i="1"/>
  <c r="C746" i="1"/>
  <c r="D746" i="1"/>
  <c r="E746" i="1"/>
  <c r="A747" i="1"/>
  <c r="C747" i="1"/>
  <c r="D747" i="1"/>
  <c r="E747" i="1"/>
  <c r="A748" i="1"/>
  <c r="C748" i="1"/>
  <c r="D748" i="1"/>
  <c r="E748" i="1"/>
  <c r="A749" i="1"/>
  <c r="C749" i="1"/>
  <c r="D749" i="1"/>
  <c r="E749" i="1"/>
  <c r="A750" i="1"/>
  <c r="C750" i="1"/>
  <c r="D750" i="1"/>
  <c r="E750" i="1"/>
  <c r="A751" i="1"/>
  <c r="C751" i="1"/>
  <c r="D751" i="1"/>
  <c r="E751" i="1"/>
  <c r="A752" i="1"/>
  <c r="C752" i="1"/>
  <c r="D752" i="1"/>
  <c r="E752" i="1"/>
  <c r="A753" i="1"/>
  <c r="C753" i="1"/>
  <c r="D753" i="1"/>
  <c r="E753" i="1"/>
  <c r="A754" i="1"/>
  <c r="C754" i="1"/>
  <c r="D754" i="1"/>
  <c r="E754" i="1"/>
  <c r="A755" i="1"/>
  <c r="C755" i="1"/>
  <c r="D755" i="1"/>
  <c r="E755" i="1"/>
  <c r="A756" i="1"/>
  <c r="C756" i="1"/>
  <c r="D756" i="1"/>
  <c r="E756" i="1"/>
  <c r="A757" i="1"/>
  <c r="C757" i="1"/>
  <c r="D757" i="1"/>
  <c r="E757" i="1"/>
  <c r="A758" i="1"/>
  <c r="C758" i="1"/>
  <c r="D758" i="1"/>
  <c r="E758" i="1"/>
  <c r="A759" i="1"/>
  <c r="C759" i="1"/>
  <c r="D759" i="1"/>
  <c r="E759" i="1"/>
  <c r="A760" i="1"/>
  <c r="C760" i="1"/>
  <c r="D760" i="1"/>
  <c r="E760" i="1"/>
  <c r="A761" i="1"/>
  <c r="C761" i="1"/>
  <c r="D761" i="1"/>
  <c r="E761" i="1"/>
  <c r="A762" i="1"/>
  <c r="C762" i="1"/>
  <c r="D762" i="1"/>
  <c r="E762" i="1"/>
  <c r="A763" i="1"/>
  <c r="C763" i="1"/>
  <c r="D763" i="1"/>
  <c r="E763" i="1"/>
  <c r="A764" i="1"/>
  <c r="C764" i="1"/>
  <c r="D764" i="1"/>
  <c r="E764" i="1"/>
  <c r="A765" i="1"/>
  <c r="C765" i="1"/>
  <c r="D765" i="1"/>
  <c r="E765" i="1"/>
  <c r="A766" i="1"/>
  <c r="C766" i="1"/>
  <c r="D766" i="1"/>
  <c r="E766" i="1"/>
  <c r="A767" i="1"/>
  <c r="C767" i="1"/>
  <c r="D767" i="1"/>
  <c r="E767" i="1"/>
  <c r="A768" i="1"/>
  <c r="C768" i="1"/>
  <c r="D768" i="1"/>
  <c r="E768" i="1"/>
  <c r="A769" i="1"/>
  <c r="C769" i="1"/>
  <c r="D769" i="1"/>
  <c r="E769" i="1"/>
  <c r="A770" i="1"/>
  <c r="C770" i="1"/>
  <c r="D770" i="1"/>
  <c r="E770" i="1"/>
  <c r="A771" i="1"/>
  <c r="C771" i="1"/>
  <c r="D771" i="1"/>
  <c r="E771" i="1"/>
  <c r="A772" i="1"/>
  <c r="C772" i="1"/>
  <c r="D772" i="1"/>
  <c r="E772" i="1"/>
  <c r="A773" i="1"/>
  <c r="C773" i="1"/>
  <c r="D773" i="1"/>
  <c r="E773" i="1"/>
  <c r="A774" i="1"/>
  <c r="C774" i="1"/>
  <c r="D774" i="1"/>
  <c r="E774" i="1"/>
  <c r="A775" i="1"/>
  <c r="C775" i="1"/>
  <c r="D775" i="1"/>
  <c r="E775" i="1"/>
  <c r="A776" i="1"/>
  <c r="C776" i="1"/>
  <c r="D776" i="1"/>
  <c r="E776" i="1"/>
  <c r="A777" i="1"/>
  <c r="C777" i="1"/>
  <c r="D777" i="1"/>
  <c r="E777" i="1"/>
  <c r="A778" i="1"/>
  <c r="C778" i="1"/>
  <c r="D778" i="1"/>
  <c r="E778" i="1"/>
  <c r="A779" i="1"/>
  <c r="C779" i="1"/>
  <c r="D779" i="1"/>
  <c r="E779" i="1"/>
  <c r="A780" i="1"/>
  <c r="C780" i="1"/>
  <c r="D780" i="1"/>
  <c r="E780" i="1"/>
  <c r="A781" i="1"/>
  <c r="C781" i="1"/>
  <c r="D781" i="1"/>
  <c r="E781" i="1"/>
  <c r="A782" i="1"/>
  <c r="C782" i="1"/>
  <c r="D782" i="1"/>
  <c r="E782" i="1"/>
  <c r="A783" i="1"/>
  <c r="C783" i="1"/>
  <c r="D783" i="1"/>
  <c r="E783" i="1"/>
  <c r="A784" i="1"/>
  <c r="C784" i="1"/>
  <c r="D784" i="1"/>
  <c r="E784" i="1"/>
  <c r="A785" i="1"/>
  <c r="C785" i="1"/>
  <c r="D785" i="1"/>
  <c r="E785" i="1"/>
  <c r="A786" i="1"/>
  <c r="C786" i="1"/>
  <c r="D786" i="1"/>
  <c r="E786" i="1"/>
  <c r="A787" i="1"/>
  <c r="C787" i="1"/>
  <c r="D787" i="1"/>
  <c r="E787" i="1"/>
  <c r="A788" i="1"/>
  <c r="C788" i="1"/>
  <c r="D788" i="1"/>
  <c r="E788" i="1"/>
  <c r="A789" i="1"/>
  <c r="C789" i="1"/>
  <c r="D789" i="1"/>
  <c r="E789" i="1"/>
  <c r="A790" i="1"/>
  <c r="C790" i="1"/>
  <c r="D790" i="1"/>
  <c r="E790" i="1"/>
  <c r="A791" i="1"/>
  <c r="C791" i="1"/>
  <c r="D791" i="1"/>
  <c r="E791" i="1"/>
  <c r="A792" i="1"/>
  <c r="C792" i="1"/>
  <c r="D792" i="1"/>
  <c r="E792" i="1"/>
  <c r="A793" i="1"/>
  <c r="C793" i="1"/>
  <c r="D793" i="1"/>
  <c r="E793" i="1"/>
  <c r="A794" i="1"/>
  <c r="C794" i="1"/>
  <c r="D794" i="1"/>
  <c r="E794" i="1"/>
  <c r="A795" i="1"/>
  <c r="C795" i="1"/>
  <c r="D795" i="1"/>
  <c r="E795" i="1"/>
  <c r="A796" i="1"/>
  <c r="C796" i="1"/>
  <c r="D796" i="1"/>
  <c r="E796" i="1"/>
  <c r="A797" i="1"/>
  <c r="C797" i="1"/>
  <c r="D797" i="1"/>
  <c r="E797" i="1"/>
  <c r="A798" i="1"/>
  <c r="C798" i="1"/>
  <c r="D798" i="1"/>
  <c r="E798" i="1"/>
  <c r="A799" i="1"/>
  <c r="C799" i="1"/>
  <c r="D799" i="1"/>
  <c r="E799" i="1"/>
  <c r="A800" i="1"/>
  <c r="C800" i="1"/>
  <c r="D800" i="1"/>
  <c r="E800" i="1"/>
  <c r="A801" i="1"/>
  <c r="C801" i="1"/>
  <c r="D801" i="1"/>
  <c r="E801" i="1"/>
  <c r="A802" i="1"/>
  <c r="C802" i="1"/>
  <c r="D802" i="1"/>
  <c r="E802" i="1"/>
  <c r="A803" i="1"/>
  <c r="C803" i="1"/>
  <c r="D803" i="1"/>
  <c r="E803" i="1"/>
  <c r="A804" i="1"/>
  <c r="C804" i="1"/>
  <c r="D804" i="1"/>
  <c r="E804" i="1"/>
  <c r="A805" i="1"/>
  <c r="C805" i="1"/>
  <c r="D805" i="1"/>
  <c r="E805" i="1"/>
  <c r="A806" i="1"/>
  <c r="C806" i="1"/>
  <c r="D806" i="1"/>
  <c r="E806" i="1"/>
  <c r="A807" i="1"/>
  <c r="C807" i="1"/>
  <c r="D807" i="1"/>
  <c r="E807" i="1"/>
  <c r="A808" i="1"/>
  <c r="C808" i="1"/>
  <c r="D808" i="1"/>
  <c r="E808" i="1"/>
  <c r="A809" i="1"/>
  <c r="C809" i="1"/>
  <c r="D809" i="1"/>
  <c r="E809" i="1"/>
  <c r="A810" i="1"/>
  <c r="C810" i="1"/>
  <c r="D810" i="1"/>
  <c r="E810" i="1"/>
  <c r="A811" i="1"/>
  <c r="C811" i="1"/>
  <c r="D811" i="1"/>
  <c r="E811" i="1"/>
  <c r="A812" i="1"/>
  <c r="C812" i="1"/>
  <c r="D812" i="1"/>
  <c r="E812" i="1"/>
  <c r="A813" i="1"/>
  <c r="C813" i="1"/>
  <c r="D813" i="1"/>
  <c r="E813" i="1"/>
  <c r="A814" i="1"/>
  <c r="C814" i="1"/>
  <c r="D814" i="1"/>
  <c r="E814" i="1"/>
  <c r="A815" i="1"/>
  <c r="C815" i="1"/>
  <c r="D815" i="1"/>
  <c r="E815" i="1"/>
  <c r="A816" i="1"/>
  <c r="C816" i="1"/>
  <c r="D816" i="1"/>
  <c r="E816" i="1"/>
  <c r="A817" i="1"/>
  <c r="C817" i="1"/>
  <c r="D817" i="1"/>
  <c r="E817" i="1"/>
  <c r="A818" i="1"/>
  <c r="C818" i="1"/>
  <c r="D818" i="1"/>
  <c r="E818" i="1"/>
  <c r="A819" i="1"/>
  <c r="C819" i="1"/>
  <c r="D819" i="1"/>
  <c r="E819" i="1"/>
  <c r="A820" i="1"/>
  <c r="C820" i="1"/>
  <c r="D820" i="1"/>
  <c r="E820" i="1"/>
  <c r="A821" i="1"/>
  <c r="C821" i="1"/>
  <c r="D821" i="1"/>
  <c r="E821" i="1"/>
  <c r="A822" i="1"/>
  <c r="C822" i="1"/>
  <c r="D822" i="1"/>
  <c r="E822" i="1"/>
  <c r="A823" i="1"/>
  <c r="C823" i="1"/>
  <c r="D823" i="1"/>
  <c r="E823" i="1"/>
  <c r="A824" i="1"/>
  <c r="C824" i="1"/>
  <c r="D824" i="1"/>
  <c r="E824" i="1"/>
  <c r="A825" i="1"/>
  <c r="C825" i="1"/>
  <c r="D825" i="1"/>
  <c r="E825" i="1"/>
  <c r="A826" i="1"/>
  <c r="C826" i="1"/>
  <c r="D826" i="1"/>
  <c r="E826" i="1"/>
  <c r="A827" i="1"/>
  <c r="C827" i="1"/>
  <c r="D827" i="1"/>
  <c r="E827" i="1"/>
  <c r="A828" i="1"/>
  <c r="C828" i="1"/>
  <c r="D828" i="1"/>
  <c r="E828" i="1"/>
  <c r="A829" i="1"/>
  <c r="C829" i="1"/>
  <c r="D829" i="1"/>
  <c r="E829" i="1"/>
  <c r="A830" i="1"/>
  <c r="C830" i="1"/>
  <c r="D830" i="1"/>
  <c r="E830" i="1"/>
  <c r="A831" i="1"/>
  <c r="C831" i="1"/>
  <c r="D831" i="1"/>
  <c r="E831" i="1"/>
  <c r="A832" i="1"/>
  <c r="C832" i="1"/>
  <c r="D832" i="1"/>
  <c r="E832" i="1"/>
  <c r="A833" i="1"/>
  <c r="C833" i="1"/>
  <c r="D833" i="1"/>
  <c r="E833" i="1"/>
  <c r="A834" i="1"/>
  <c r="C834" i="1"/>
  <c r="D834" i="1"/>
  <c r="E834" i="1"/>
  <c r="A835" i="1"/>
  <c r="C835" i="1"/>
  <c r="D835" i="1"/>
  <c r="E835" i="1"/>
  <c r="A836" i="1"/>
  <c r="C836" i="1"/>
  <c r="D836" i="1"/>
  <c r="E836" i="1"/>
  <c r="A837" i="1"/>
  <c r="C837" i="1"/>
  <c r="D837" i="1"/>
  <c r="E837" i="1"/>
  <c r="A838" i="1"/>
  <c r="C838" i="1"/>
  <c r="D838" i="1"/>
  <c r="E838" i="1"/>
  <c r="A839" i="1"/>
  <c r="C839" i="1"/>
  <c r="D839" i="1"/>
  <c r="E839" i="1"/>
  <c r="A840" i="1"/>
  <c r="C840" i="1"/>
  <c r="D840" i="1"/>
  <c r="E840" i="1"/>
  <c r="A841" i="1"/>
  <c r="C841" i="1"/>
  <c r="D841" i="1"/>
  <c r="E841" i="1"/>
  <c r="A842" i="1"/>
  <c r="C842" i="1"/>
  <c r="D842" i="1"/>
  <c r="E842" i="1"/>
  <c r="A843" i="1"/>
  <c r="C843" i="1"/>
  <c r="D843" i="1"/>
  <c r="E843" i="1"/>
  <c r="A844" i="1"/>
  <c r="C844" i="1"/>
  <c r="D844" i="1"/>
  <c r="E844" i="1"/>
  <c r="A845" i="1"/>
  <c r="C845" i="1"/>
  <c r="D845" i="1"/>
  <c r="E845" i="1"/>
  <c r="A846" i="1"/>
  <c r="C846" i="1"/>
  <c r="D846" i="1"/>
  <c r="E846" i="1"/>
  <c r="A847" i="1"/>
  <c r="C847" i="1"/>
  <c r="D847" i="1"/>
  <c r="E847" i="1"/>
  <c r="A848" i="1"/>
  <c r="C848" i="1"/>
  <c r="D848" i="1"/>
  <c r="E848" i="1"/>
  <c r="A849" i="1"/>
  <c r="C849" i="1"/>
  <c r="D849" i="1"/>
  <c r="E849" i="1"/>
  <c r="A850" i="1"/>
  <c r="C850" i="1"/>
  <c r="D850" i="1"/>
  <c r="E850" i="1"/>
  <c r="A851" i="1"/>
  <c r="C851" i="1"/>
  <c r="D851" i="1"/>
  <c r="E851" i="1"/>
  <c r="A852" i="1"/>
  <c r="C852" i="1"/>
  <c r="D852" i="1"/>
  <c r="E852" i="1"/>
  <c r="A853" i="1"/>
  <c r="C853" i="1"/>
  <c r="D853" i="1"/>
  <c r="E853" i="1"/>
  <c r="A854" i="1"/>
  <c r="C854" i="1"/>
  <c r="D854" i="1"/>
  <c r="E854" i="1"/>
  <c r="A855" i="1"/>
  <c r="C855" i="1"/>
  <c r="D855" i="1"/>
  <c r="E855" i="1"/>
  <c r="A856" i="1"/>
  <c r="C856" i="1"/>
  <c r="D856" i="1"/>
  <c r="E856" i="1"/>
  <c r="A857" i="1"/>
  <c r="C857" i="1"/>
  <c r="D857" i="1"/>
  <c r="E857" i="1"/>
  <c r="A858" i="1"/>
  <c r="C858" i="1"/>
  <c r="D858" i="1"/>
  <c r="E858" i="1"/>
  <c r="A859" i="1"/>
  <c r="C859" i="1"/>
  <c r="D859" i="1"/>
  <c r="E859" i="1"/>
  <c r="A860" i="1"/>
  <c r="C860" i="1"/>
  <c r="D860" i="1"/>
  <c r="E860" i="1"/>
  <c r="A861" i="1"/>
  <c r="C861" i="1"/>
  <c r="D861" i="1"/>
  <c r="E861" i="1"/>
  <c r="A862" i="1"/>
  <c r="C862" i="1"/>
  <c r="D862" i="1"/>
  <c r="E862" i="1"/>
  <c r="A863" i="1"/>
  <c r="C863" i="1"/>
  <c r="D863" i="1"/>
  <c r="E863" i="1"/>
  <c r="A864" i="1"/>
  <c r="C864" i="1"/>
  <c r="D864" i="1"/>
  <c r="E864" i="1"/>
  <c r="A865" i="1"/>
  <c r="C865" i="1"/>
  <c r="D865" i="1"/>
  <c r="E865" i="1"/>
  <c r="A866" i="1"/>
  <c r="C866" i="1"/>
  <c r="D866" i="1"/>
  <c r="E866" i="1"/>
  <c r="A867" i="1"/>
  <c r="C867" i="1"/>
  <c r="D867" i="1"/>
  <c r="E867" i="1"/>
  <c r="A868" i="1"/>
  <c r="C868" i="1"/>
  <c r="D868" i="1"/>
  <c r="E868" i="1"/>
  <c r="A869" i="1"/>
  <c r="C869" i="1"/>
  <c r="D869" i="1"/>
  <c r="E869" i="1"/>
  <c r="A870" i="1"/>
  <c r="C870" i="1"/>
  <c r="D870" i="1"/>
  <c r="E870" i="1"/>
  <c r="A871" i="1"/>
  <c r="C871" i="1"/>
  <c r="D871" i="1"/>
  <c r="E871" i="1"/>
  <c r="A872" i="1"/>
  <c r="C872" i="1"/>
  <c r="D872" i="1"/>
  <c r="E872" i="1"/>
  <c r="A873" i="1"/>
  <c r="C873" i="1"/>
  <c r="D873" i="1"/>
  <c r="E873" i="1"/>
  <c r="A874" i="1"/>
  <c r="C874" i="1"/>
  <c r="D874" i="1"/>
  <c r="E874" i="1"/>
  <c r="A875" i="1"/>
  <c r="C875" i="1"/>
  <c r="D875" i="1"/>
  <c r="E875" i="1"/>
  <c r="A876" i="1"/>
  <c r="C876" i="1"/>
  <c r="D876" i="1"/>
  <c r="E876" i="1"/>
  <c r="A877" i="1"/>
  <c r="C877" i="1"/>
  <c r="D877" i="1"/>
  <c r="E877" i="1"/>
  <c r="A878" i="1"/>
  <c r="C878" i="1"/>
  <c r="D878" i="1"/>
  <c r="E878" i="1"/>
  <c r="A879" i="1"/>
  <c r="C879" i="1"/>
  <c r="D879" i="1"/>
  <c r="E879" i="1"/>
  <c r="A880" i="1"/>
  <c r="C880" i="1"/>
  <c r="D880" i="1"/>
  <c r="E880" i="1"/>
  <c r="A881" i="1"/>
  <c r="C881" i="1"/>
  <c r="D881" i="1"/>
  <c r="E881" i="1"/>
  <c r="A882" i="1"/>
  <c r="C882" i="1"/>
  <c r="D882" i="1"/>
  <c r="E882" i="1"/>
  <c r="A883" i="1"/>
  <c r="C883" i="1"/>
  <c r="D883" i="1"/>
  <c r="E883" i="1"/>
  <c r="A884" i="1"/>
  <c r="C884" i="1"/>
  <c r="D884" i="1"/>
  <c r="E884" i="1"/>
  <c r="A885" i="1"/>
  <c r="C885" i="1"/>
  <c r="D885" i="1"/>
  <c r="E885" i="1"/>
  <c r="A886" i="1"/>
  <c r="C886" i="1"/>
  <c r="D886" i="1"/>
  <c r="E886" i="1"/>
  <c r="A887" i="1"/>
  <c r="C887" i="1"/>
  <c r="D887" i="1"/>
  <c r="E887" i="1"/>
  <c r="A888" i="1"/>
  <c r="C888" i="1"/>
  <c r="D888" i="1"/>
  <c r="E888" i="1"/>
  <c r="A889" i="1"/>
  <c r="C889" i="1"/>
  <c r="D889" i="1"/>
  <c r="E889" i="1"/>
  <c r="A890" i="1"/>
  <c r="C890" i="1"/>
  <c r="D890" i="1"/>
  <c r="E890" i="1"/>
  <c r="A891" i="1"/>
  <c r="C891" i="1"/>
  <c r="D891" i="1"/>
  <c r="E891" i="1"/>
  <c r="A892" i="1"/>
  <c r="C892" i="1"/>
  <c r="D892" i="1"/>
  <c r="E892" i="1"/>
  <c r="A893" i="1"/>
  <c r="C893" i="1"/>
  <c r="D893" i="1"/>
  <c r="E893" i="1"/>
  <c r="A894" i="1"/>
  <c r="C894" i="1"/>
  <c r="D894" i="1"/>
  <c r="E894" i="1"/>
  <c r="A895" i="1"/>
  <c r="C895" i="1"/>
  <c r="D895" i="1"/>
  <c r="E895" i="1"/>
  <c r="A896" i="1"/>
  <c r="C896" i="1"/>
  <c r="D896" i="1"/>
  <c r="E896" i="1"/>
  <c r="A897" i="1"/>
  <c r="C897" i="1"/>
  <c r="D897" i="1"/>
  <c r="E897" i="1"/>
  <c r="A898" i="1"/>
  <c r="C898" i="1"/>
  <c r="D898" i="1"/>
  <c r="E898" i="1"/>
  <c r="A899" i="1"/>
  <c r="C899" i="1"/>
  <c r="D899" i="1"/>
  <c r="E899" i="1"/>
  <c r="A900" i="1"/>
  <c r="C900" i="1"/>
  <c r="D900" i="1"/>
  <c r="E900" i="1"/>
  <c r="A901" i="1"/>
  <c r="C901" i="1"/>
  <c r="D901" i="1"/>
  <c r="E901" i="1"/>
  <c r="A902" i="1"/>
  <c r="C902" i="1"/>
  <c r="D902" i="1"/>
  <c r="E902" i="1"/>
  <c r="A903" i="1"/>
  <c r="C903" i="1"/>
  <c r="D903" i="1"/>
  <c r="E903" i="1"/>
  <c r="A904" i="1"/>
  <c r="C904" i="1"/>
  <c r="D904" i="1"/>
  <c r="E904" i="1"/>
  <c r="A905" i="1"/>
  <c r="C905" i="1"/>
  <c r="D905" i="1"/>
  <c r="E905" i="1"/>
  <c r="A906" i="1"/>
  <c r="C906" i="1"/>
  <c r="D906" i="1"/>
  <c r="E906" i="1"/>
  <c r="A907" i="1"/>
  <c r="C907" i="1"/>
  <c r="D907" i="1"/>
  <c r="E907" i="1"/>
  <c r="A908" i="1"/>
  <c r="C908" i="1"/>
  <c r="D908" i="1"/>
  <c r="E908" i="1"/>
  <c r="A909" i="1"/>
  <c r="C909" i="1"/>
  <c r="D909" i="1"/>
  <c r="E909" i="1"/>
  <c r="A910" i="1"/>
  <c r="C910" i="1"/>
  <c r="D910" i="1"/>
  <c r="E910" i="1"/>
  <c r="A911" i="1"/>
  <c r="C911" i="1"/>
  <c r="D911" i="1"/>
  <c r="E911" i="1"/>
  <c r="A912" i="1"/>
  <c r="C912" i="1"/>
  <c r="D912" i="1"/>
  <c r="E912" i="1"/>
  <c r="A913" i="1"/>
  <c r="C913" i="1"/>
  <c r="D913" i="1"/>
  <c r="E913" i="1"/>
  <c r="A914" i="1"/>
  <c r="C914" i="1"/>
  <c r="D914" i="1"/>
  <c r="E914" i="1"/>
  <c r="A915" i="1"/>
  <c r="C915" i="1"/>
  <c r="D915" i="1"/>
  <c r="E915" i="1"/>
  <c r="A916" i="1"/>
  <c r="C916" i="1"/>
  <c r="D916" i="1"/>
  <c r="E916" i="1"/>
  <c r="A917" i="1"/>
  <c r="C917" i="1"/>
  <c r="D917" i="1"/>
  <c r="E917" i="1"/>
  <c r="A918" i="1"/>
  <c r="C918" i="1"/>
  <c r="D918" i="1"/>
  <c r="E918" i="1"/>
  <c r="A919" i="1"/>
  <c r="C919" i="1"/>
  <c r="D919" i="1"/>
  <c r="E919" i="1"/>
  <c r="A920" i="1"/>
  <c r="C920" i="1"/>
  <c r="D920" i="1"/>
  <c r="E920" i="1"/>
  <c r="A921" i="1"/>
  <c r="C921" i="1"/>
  <c r="D921" i="1"/>
  <c r="E921" i="1"/>
  <c r="A922" i="1"/>
  <c r="C922" i="1"/>
  <c r="D922" i="1"/>
  <c r="E922" i="1"/>
  <c r="A923" i="1"/>
  <c r="C923" i="1"/>
  <c r="D923" i="1"/>
  <c r="E923" i="1"/>
  <c r="A924" i="1"/>
  <c r="C924" i="1"/>
  <c r="D924" i="1"/>
  <c r="E924" i="1"/>
  <c r="A925" i="1"/>
  <c r="C925" i="1"/>
  <c r="D925" i="1"/>
  <c r="E925" i="1"/>
  <c r="A926" i="1"/>
  <c r="C926" i="1"/>
  <c r="D926" i="1"/>
  <c r="E926" i="1"/>
  <c r="A927" i="1"/>
  <c r="C927" i="1"/>
  <c r="D927" i="1"/>
  <c r="E927" i="1"/>
  <c r="A928" i="1"/>
  <c r="C928" i="1"/>
  <c r="D928" i="1"/>
  <c r="E928" i="1"/>
  <c r="A929" i="1"/>
  <c r="C929" i="1"/>
  <c r="D929" i="1"/>
  <c r="E929" i="1"/>
  <c r="A930" i="1"/>
  <c r="C930" i="1"/>
  <c r="D930" i="1"/>
  <c r="E930" i="1"/>
  <c r="A931" i="1"/>
  <c r="C931" i="1"/>
  <c r="D931" i="1"/>
  <c r="E931" i="1"/>
  <c r="A932" i="1"/>
  <c r="C932" i="1"/>
  <c r="D932" i="1"/>
  <c r="E932" i="1"/>
  <c r="A933" i="1"/>
  <c r="C933" i="1"/>
  <c r="D933" i="1"/>
  <c r="E933" i="1"/>
  <c r="A934" i="1"/>
  <c r="C934" i="1"/>
  <c r="D934" i="1"/>
  <c r="E934" i="1"/>
  <c r="A935" i="1"/>
  <c r="C935" i="1"/>
  <c r="D935" i="1"/>
  <c r="E935" i="1"/>
  <c r="A936" i="1"/>
  <c r="C936" i="1"/>
  <c r="D936" i="1"/>
  <c r="E936" i="1"/>
  <c r="A937" i="1"/>
  <c r="C937" i="1"/>
  <c r="D937" i="1"/>
  <c r="E937" i="1"/>
  <c r="A938" i="1"/>
  <c r="C938" i="1"/>
  <c r="D938" i="1"/>
  <c r="E938" i="1"/>
  <c r="A939" i="1"/>
  <c r="C939" i="1"/>
  <c r="D939" i="1"/>
  <c r="E939" i="1"/>
  <c r="A940" i="1"/>
  <c r="C940" i="1"/>
  <c r="D940" i="1"/>
  <c r="E940" i="1"/>
  <c r="A941" i="1"/>
  <c r="C941" i="1"/>
  <c r="D941" i="1"/>
  <c r="E941" i="1"/>
  <c r="A942" i="1"/>
  <c r="C942" i="1"/>
  <c r="D942" i="1"/>
  <c r="E942" i="1"/>
  <c r="A943" i="1"/>
  <c r="C943" i="1"/>
  <c r="D943" i="1"/>
  <c r="E943" i="1"/>
  <c r="A944" i="1"/>
  <c r="C944" i="1"/>
  <c r="D944" i="1"/>
  <c r="E944" i="1"/>
  <c r="A945" i="1"/>
  <c r="C945" i="1"/>
  <c r="D945" i="1"/>
  <c r="E945" i="1"/>
  <c r="A946" i="1"/>
  <c r="C946" i="1"/>
  <c r="D946" i="1"/>
  <c r="E946" i="1"/>
  <c r="A947" i="1"/>
  <c r="C947" i="1"/>
  <c r="D947" i="1"/>
  <c r="E947" i="1"/>
  <c r="A948" i="1"/>
  <c r="C948" i="1"/>
  <c r="D948" i="1"/>
  <c r="E948" i="1"/>
  <c r="A949" i="1"/>
  <c r="C949" i="1"/>
  <c r="D949" i="1"/>
  <c r="E949" i="1"/>
  <c r="A950" i="1"/>
  <c r="C950" i="1"/>
  <c r="D950" i="1"/>
  <c r="E950" i="1"/>
  <c r="A951" i="1"/>
  <c r="C951" i="1"/>
  <c r="D951" i="1"/>
  <c r="E951" i="1"/>
  <c r="A952" i="1"/>
  <c r="C952" i="1"/>
  <c r="D952" i="1"/>
  <c r="E952" i="1"/>
  <c r="A953" i="1"/>
  <c r="C953" i="1"/>
  <c r="D953" i="1"/>
  <c r="E953" i="1"/>
  <c r="A954" i="1"/>
  <c r="C954" i="1"/>
  <c r="D954" i="1"/>
  <c r="E954" i="1"/>
  <c r="A955" i="1"/>
  <c r="C955" i="1"/>
  <c r="D955" i="1"/>
  <c r="E955" i="1"/>
  <c r="A956" i="1"/>
  <c r="C956" i="1"/>
  <c r="D956" i="1"/>
  <c r="E956" i="1"/>
  <c r="A957" i="1"/>
  <c r="C957" i="1"/>
  <c r="D957" i="1"/>
  <c r="E957" i="1"/>
  <c r="A958" i="1"/>
  <c r="C958" i="1"/>
  <c r="D958" i="1"/>
  <c r="E958" i="1"/>
  <c r="A959" i="1"/>
  <c r="C959" i="1"/>
  <c r="D959" i="1"/>
  <c r="E959" i="1"/>
  <c r="A960" i="1"/>
  <c r="C960" i="1"/>
  <c r="D960" i="1"/>
  <c r="E960" i="1"/>
  <c r="A961" i="1"/>
  <c r="C961" i="1"/>
  <c r="D961" i="1"/>
  <c r="E961" i="1"/>
  <c r="A962" i="1"/>
  <c r="C962" i="1"/>
  <c r="D962" i="1"/>
  <c r="E962" i="1"/>
  <c r="A963" i="1"/>
  <c r="C963" i="1"/>
  <c r="D963" i="1"/>
  <c r="E963" i="1"/>
  <c r="A964" i="1"/>
  <c r="C964" i="1"/>
  <c r="D964" i="1"/>
  <c r="E964" i="1"/>
  <c r="A965" i="1"/>
  <c r="C965" i="1"/>
  <c r="D965" i="1"/>
  <c r="E965" i="1"/>
  <c r="A966" i="1"/>
  <c r="C966" i="1"/>
  <c r="D966" i="1"/>
  <c r="E966" i="1"/>
  <c r="A967" i="1"/>
  <c r="C967" i="1"/>
  <c r="D967" i="1"/>
  <c r="E967" i="1"/>
  <c r="A968" i="1"/>
  <c r="C968" i="1"/>
  <c r="D968" i="1"/>
  <c r="E968" i="1"/>
  <c r="A969" i="1"/>
  <c r="C969" i="1"/>
  <c r="D969" i="1"/>
  <c r="E969" i="1"/>
  <c r="A970" i="1"/>
  <c r="C970" i="1"/>
  <c r="D970" i="1"/>
  <c r="E970" i="1"/>
  <c r="A971" i="1"/>
  <c r="C971" i="1"/>
  <c r="D971" i="1"/>
  <c r="E971" i="1"/>
  <c r="A972" i="1"/>
  <c r="C972" i="1"/>
  <c r="D972" i="1"/>
  <c r="E972" i="1"/>
  <c r="A973" i="1"/>
  <c r="C973" i="1"/>
  <c r="D973" i="1"/>
  <c r="E973" i="1"/>
  <c r="A974" i="1"/>
  <c r="C974" i="1"/>
  <c r="D974" i="1"/>
  <c r="E974" i="1"/>
  <c r="A975" i="1"/>
  <c r="C975" i="1"/>
  <c r="D975" i="1"/>
  <c r="E975" i="1"/>
  <c r="A976" i="1"/>
  <c r="C976" i="1"/>
  <c r="D976" i="1"/>
  <c r="E976" i="1"/>
  <c r="A977" i="1"/>
  <c r="C977" i="1"/>
  <c r="D977" i="1"/>
  <c r="E977" i="1"/>
  <c r="A978" i="1"/>
  <c r="C978" i="1"/>
  <c r="D978" i="1"/>
  <c r="E978" i="1"/>
  <c r="A979" i="1"/>
  <c r="C979" i="1"/>
  <c r="D979" i="1"/>
  <c r="E979" i="1"/>
  <c r="A980" i="1"/>
  <c r="C980" i="1"/>
  <c r="D980" i="1"/>
  <c r="E980" i="1"/>
  <c r="A981" i="1"/>
  <c r="C981" i="1"/>
  <c r="D981" i="1"/>
  <c r="E981" i="1"/>
  <c r="A982" i="1"/>
  <c r="C982" i="1"/>
  <c r="D982" i="1"/>
  <c r="E982" i="1"/>
  <c r="A983" i="1"/>
  <c r="C983" i="1"/>
  <c r="D983" i="1"/>
  <c r="E983" i="1"/>
  <c r="A984" i="1"/>
  <c r="C984" i="1"/>
  <c r="D984" i="1"/>
  <c r="E984" i="1"/>
  <c r="A985" i="1"/>
  <c r="C985" i="1"/>
  <c r="D985" i="1"/>
  <c r="E985" i="1"/>
  <c r="A986" i="1"/>
  <c r="C986" i="1"/>
  <c r="D986" i="1"/>
  <c r="E986" i="1"/>
  <c r="A987" i="1"/>
  <c r="C987" i="1"/>
  <c r="D987" i="1"/>
  <c r="E987" i="1"/>
  <c r="A988" i="1"/>
  <c r="C988" i="1"/>
  <c r="D988" i="1"/>
  <c r="E988" i="1"/>
  <c r="A989" i="1"/>
  <c r="C989" i="1"/>
  <c r="D989" i="1"/>
  <c r="E989" i="1"/>
  <c r="A990" i="1"/>
  <c r="C990" i="1"/>
  <c r="D990" i="1"/>
  <c r="E990" i="1"/>
  <c r="A991" i="1"/>
  <c r="C991" i="1"/>
  <c r="D991" i="1"/>
  <c r="E991" i="1"/>
  <c r="A992" i="1"/>
  <c r="C992" i="1"/>
  <c r="D992" i="1"/>
  <c r="E992" i="1"/>
  <c r="A993" i="1"/>
  <c r="C993" i="1"/>
  <c r="D993" i="1"/>
  <c r="E993" i="1"/>
  <c r="A994" i="1"/>
  <c r="C994" i="1"/>
  <c r="D994" i="1"/>
  <c r="E994" i="1"/>
  <c r="A995" i="1"/>
  <c r="C995" i="1"/>
  <c r="D995" i="1"/>
  <c r="E995" i="1"/>
  <c r="A996" i="1"/>
  <c r="C996" i="1"/>
  <c r="D996" i="1"/>
  <c r="E996" i="1"/>
  <c r="A997" i="1"/>
  <c r="C997" i="1"/>
  <c r="D997" i="1"/>
  <c r="E997" i="1"/>
  <c r="A998" i="1"/>
  <c r="C998" i="1"/>
  <c r="D998" i="1"/>
  <c r="E998" i="1"/>
  <c r="A999" i="1"/>
  <c r="C999" i="1"/>
  <c r="D999" i="1"/>
  <c r="E999" i="1"/>
  <c r="A1000" i="1"/>
  <c r="C1000" i="1"/>
  <c r="D1000" i="1"/>
  <c r="E1000" i="1"/>
  <c r="A1001" i="1"/>
  <c r="C1001" i="1"/>
  <c r="D1001" i="1"/>
  <c r="E1001" i="1"/>
  <c r="A1002" i="1"/>
  <c r="C1002" i="1"/>
  <c r="D1002" i="1"/>
  <c r="E1002" i="1"/>
  <c r="A1003" i="1"/>
  <c r="C1003" i="1"/>
  <c r="D1003" i="1"/>
  <c r="E1003" i="1"/>
  <c r="A1004" i="1"/>
  <c r="C1004" i="1"/>
  <c r="D1004" i="1"/>
  <c r="E1004" i="1"/>
  <c r="A1005" i="1"/>
  <c r="C1005" i="1"/>
  <c r="D1005" i="1"/>
  <c r="E1005" i="1"/>
  <c r="A1006" i="1"/>
  <c r="C1006" i="1"/>
  <c r="D1006" i="1"/>
  <c r="E1006" i="1"/>
  <c r="A1007" i="1"/>
  <c r="C1007" i="1"/>
  <c r="D1007" i="1"/>
  <c r="E1007" i="1"/>
  <c r="A1008" i="1"/>
  <c r="C1008" i="1"/>
  <c r="D1008" i="1"/>
  <c r="E1008" i="1"/>
  <c r="A1009" i="1"/>
  <c r="C1009" i="1"/>
  <c r="D1009" i="1"/>
  <c r="E1009" i="1"/>
  <c r="A1010" i="1"/>
  <c r="C1010" i="1"/>
  <c r="D1010" i="1"/>
  <c r="E1010" i="1"/>
  <c r="A1011" i="1"/>
  <c r="C1011" i="1"/>
  <c r="D1011" i="1"/>
  <c r="E1011" i="1"/>
  <c r="A1012" i="1"/>
  <c r="C1012" i="1"/>
  <c r="D1012" i="1"/>
  <c r="E1012" i="1"/>
  <c r="A1013" i="1"/>
  <c r="C1013" i="1"/>
  <c r="D1013" i="1"/>
  <c r="E1013" i="1"/>
  <c r="A1014" i="1"/>
  <c r="C1014" i="1"/>
  <c r="D1014" i="1"/>
  <c r="E1014" i="1"/>
  <c r="A1015" i="1"/>
  <c r="C1015" i="1"/>
  <c r="D1015" i="1"/>
  <c r="E1015" i="1"/>
  <c r="A1016" i="1"/>
  <c r="C1016" i="1"/>
  <c r="D1016" i="1"/>
  <c r="E1016" i="1"/>
  <c r="A1017" i="1"/>
  <c r="C1017" i="1"/>
  <c r="D1017" i="1"/>
  <c r="E1017" i="1"/>
  <c r="A1018" i="1"/>
  <c r="C1018" i="1"/>
  <c r="D1018" i="1"/>
  <c r="E1018" i="1"/>
  <c r="A1019" i="1"/>
  <c r="C1019" i="1"/>
  <c r="D1019" i="1"/>
  <c r="E1019" i="1"/>
  <c r="A1020" i="1"/>
  <c r="C1020" i="1"/>
  <c r="D1020" i="1"/>
  <c r="E1020" i="1"/>
  <c r="A1021" i="1"/>
  <c r="C1021" i="1"/>
  <c r="D1021" i="1"/>
  <c r="E1021" i="1"/>
  <c r="A1022" i="1"/>
  <c r="C1022" i="1"/>
  <c r="D1022" i="1"/>
  <c r="E1022" i="1"/>
  <c r="A1023" i="1"/>
  <c r="C1023" i="1"/>
  <c r="D1023" i="1"/>
  <c r="E1023" i="1"/>
  <c r="A1024" i="1"/>
  <c r="C1024" i="1"/>
  <c r="D1024" i="1"/>
  <c r="E1024" i="1"/>
  <c r="A1025" i="1"/>
  <c r="C1025" i="1"/>
  <c r="D1025" i="1"/>
  <c r="E1025" i="1"/>
  <c r="A1026" i="1"/>
  <c r="C1026" i="1"/>
  <c r="D1026" i="1"/>
  <c r="E1026" i="1"/>
  <c r="A1027" i="1"/>
  <c r="C1027" i="1"/>
  <c r="D1027" i="1"/>
  <c r="E1027" i="1"/>
  <c r="A1028" i="1"/>
  <c r="C1028" i="1"/>
  <c r="D1028" i="1"/>
  <c r="E1028" i="1"/>
  <c r="A1029" i="1"/>
  <c r="C1029" i="1"/>
  <c r="D1029" i="1"/>
  <c r="E1029" i="1"/>
  <c r="A1030" i="1"/>
  <c r="C1030" i="1"/>
  <c r="D1030" i="1"/>
  <c r="E1030" i="1"/>
  <c r="A1031" i="1"/>
  <c r="C1031" i="1"/>
  <c r="D1031" i="1"/>
  <c r="E1031" i="1"/>
  <c r="A1032" i="1"/>
  <c r="C1032" i="1"/>
  <c r="D1032" i="1"/>
  <c r="E1032" i="1"/>
  <c r="A1033" i="1"/>
  <c r="C1033" i="1"/>
  <c r="D1033" i="1"/>
  <c r="E1033" i="1"/>
  <c r="A1034" i="1"/>
  <c r="C1034" i="1"/>
  <c r="D1034" i="1"/>
  <c r="E1034" i="1"/>
  <c r="A1035" i="1"/>
  <c r="C1035" i="1"/>
  <c r="D1035" i="1"/>
  <c r="E1035" i="1"/>
  <c r="A1036" i="1"/>
  <c r="C1036" i="1"/>
  <c r="D1036" i="1"/>
  <c r="E1036" i="1"/>
  <c r="A1037" i="1"/>
  <c r="C1037" i="1"/>
  <c r="D1037" i="1"/>
  <c r="E1037" i="1"/>
  <c r="A1038" i="1"/>
  <c r="C1038" i="1"/>
  <c r="D1038" i="1"/>
  <c r="E1038" i="1"/>
  <c r="A1039" i="1"/>
  <c r="C1039" i="1"/>
  <c r="D1039" i="1"/>
  <c r="E1039" i="1"/>
  <c r="A1040" i="1"/>
  <c r="C1040" i="1"/>
  <c r="D1040" i="1"/>
  <c r="E1040" i="1"/>
  <c r="A1041" i="1"/>
  <c r="C1041" i="1"/>
  <c r="D1041" i="1"/>
  <c r="E1041" i="1"/>
  <c r="A1042" i="1"/>
  <c r="C1042" i="1"/>
  <c r="D1042" i="1"/>
  <c r="E1042" i="1"/>
  <c r="A1043" i="1"/>
  <c r="C1043" i="1"/>
  <c r="D1043" i="1"/>
  <c r="E1043" i="1"/>
  <c r="A1044" i="1"/>
  <c r="C1044" i="1"/>
  <c r="D1044" i="1"/>
  <c r="E1044" i="1"/>
  <c r="A1045" i="1"/>
  <c r="C1045" i="1"/>
  <c r="D1045" i="1"/>
  <c r="E1045" i="1"/>
  <c r="A1046" i="1"/>
  <c r="C1046" i="1"/>
  <c r="D1046" i="1"/>
  <c r="E1046" i="1"/>
  <c r="A1047" i="1"/>
  <c r="C1047" i="1"/>
  <c r="D1047" i="1"/>
  <c r="E1047" i="1"/>
  <c r="A1048" i="1"/>
  <c r="C1048" i="1"/>
  <c r="D1048" i="1"/>
  <c r="E1048" i="1"/>
  <c r="A1049" i="1"/>
  <c r="C1049" i="1"/>
  <c r="D1049" i="1"/>
  <c r="E1049" i="1"/>
  <c r="A1050" i="1"/>
  <c r="C1050" i="1"/>
  <c r="D1050" i="1"/>
  <c r="E1050" i="1"/>
  <c r="A1051" i="1"/>
  <c r="C1051" i="1"/>
  <c r="D1051" i="1"/>
  <c r="E1051" i="1"/>
  <c r="A1052" i="1"/>
  <c r="C1052" i="1"/>
  <c r="D1052" i="1"/>
  <c r="E1052" i="1"/>
  <c r="A1053" i="1"/>
  <c r="C1053" i="1"/>
  <c r="D1053" i="1"/>
  <c r="E1053" i="1"/>
  <c r="A1054" i="1"/>
  <c r="C1054" i="1"/>
  <c r="D1054" i="1"/>
  <c r="E1054" i="1"/>
  <c r="A1055" i="1"/>
  <c r="C1055" i="1"/>
  <c r="D1055" i="1"/>
  <c r="E1055" i="1"/>
  <c r="A1056" i="1"/>
  <c r="C1056" i="1"/>
  <c r="D1056" i="1"/>
  <c r="E1056" i="1"/>
  <c r="A1057" i="1"/>
  <c r="C1057" i="1"/>
  <c r="D1057" i="1"/>
  <c r="E1057" i="1"/>
  <c r="A1058" i="1"/>
  <c r="C1058" i="1"/>
  <c r="D1058" i="1"/>
  <c r="E1058" i="1"/>
  <c r="A1059" i="1"/>
  <c r="C1059" i="1"/>
  <c r="D1059" i="1"/>
  <c r="E1059" i="1"/>
  <c r="A1060" i="1"/>
  <c r="C1060" i="1"/>
  <c r="D1060" i="1"/>
  <c r="E1060" i="1"/>
  <c r="A1061" i="1"/>
  <c r="C1061" i="1"/>
  <c r="D1061" i="1"/>
  <c r="E1061" i="1"/>
  <c r="A1062" i="1"/>
  <c r="C1062" i="1"/>
  <c r="D1062" i="1"/>
  <c r="E1062" i="1"/>
  <c r="A1063" i="1"/>
  <c r="C1063" i="1"/>
  <c r="D1063" i="1"/>
  <c r="E1063" i="1"/>
  <c r="A1064" i="1"/>
  <c r="C1064" i="1"/>
  <c r="D1064" i="1"/>
  <c r="E1064" i="1"/>
  <c r="A1065" i="1"/>
  <c r="C1065" i="1"/>
  <c r="D1065" i="1"/>
  <c r="E1065" i="1"/>
  <c r="A1066" i="1"/>
  <c r="C1066" i="1"/>
  <c r="D1066" i="1"/>
  <c r="E1066" i="1"/>
  <c r="A1067" i="1"/>
  <c r="C1067" i="1"/>
  <c r="D1067" i="1"/>
  <c r="E1067" i="1"/>
  <c r="A1068" i="1"/>
  <c r="C1068" i="1"/>
  <c r="D1068" i="1"/>
  <c r="E1068" i="1"/>
  <c r="A1069" i="1"/>
  <c r="C1069" i="1"/>
  <c r="D1069" i="1"/>
  <c r="E1069" i="1"/>
  <c r="A1070" i="1"/>
  <c r="C1070" i="1"/>
  <c r="D1070" i="1"/>
  <c r="E1070" i="1"/>
  <c r="A1071" i="1"/>
  <c r="C1071" i="1"/>
  <c r="D1071" i="1"/>
  <c r="E1071" i="1"/>
  <c r="A1072" i="1"/>
  <c r="C1072" i="1"/>
  <c r="D1072" i="1"/>
  <c r="E1072" i="1"/>
  <c r="A1073" i="1"/>
  <c r="C1073" i="1"/>
  <c r="D1073" i="1"/>
  <c r="E1073" i="1"/>
  <c r="A1074" i="1"/>
  <c r="C1074" i="1"/>
  <c r="D1074" i="1"/>
  <c r="E1074" i="1"/>
  <c r="A1075" i="1"/>
  <c r="C1075" i="1"/>
  <c r="D1075" i="1"/>
  <c r="E1075" i="1"/>
  <c r="A1076" i="1"/>
  <c r="C1076" i="1"/>
  <c r="D1076" i="1"/>
  <c r="E1076" i="1"/>
  <c r="A1077" i="1"/>
  <c r="C1077" i="1"/>
  <c r="D1077" i="1"/>
  <c r="E1077" i="1"/>
  <c r="A1078" i="1"/>
  <c r="C1078" i="1"/>
  <c r="D1078" i="1"/>
  <c r="E1078" i="1"/>
  <c r="A1079" i="1"/>
  <c r="C1079" i="1"/>
  <c r="D1079" i="1"/>
  <c r="E1079" i="1"/>
  <c r="A1080" i="1"/>
  <c r="C1080" i="1"/>
  <c r="D1080" i="1"/>
  <c r="E1080" i="1"/>
  <c r="A1081" i="1"/>
  <c r="C1081" i="1"/>
  <c r="D1081" i="1"/>
  <c r="E1081" i="1"/>
  <c r="A1082" i="1"/>
  <c r="C1082" i="1"/>
  <c r="D1082" i="1"/>
  <c r="E1082" i="1"/>
  <c r="A1083" i="1"/>
  <c r="C1083" i="1"/>
  <c r="D1083" i="1"/>
  <c r="E1083" i="1"/>
  <c r="A1084" i="1"/>
  <c r="C1084" i="1"/>
  <c r="D1084" i="1"/>
  <c r="E1084" i="1"/>
  <c r="A1085" i="1"/>
  <c r="C1085" i="1"/>
  <c r="D1085" i="1"/>
  <c r="E1085" i="1"/>
  <c r="A1086" i="1"/>
  <c r="C1086" i="1"/>
  <c r="D1086" i="1"/>
  <c r="E1086" i="1"/>
  <c r="A1087" i="1"/>
  <c r="C1087" i="1"/>
  <c r="D1087" i="1"/>
  <c r="E1087" i="1"/>
  <c r="A1088" i="1"/>
  <c r="C1088" i="1"/>
  <c r="D1088" i="1"/>
  <c r="E1088" i="1"/>
  <c r="A1089" i="1"/>
  <c r="C1089" i="1"/>
  <c r="D1089" i="1"/>
  <c r="E1089" i="1"/>
  <c r="A1090" i="1"/>
  <c r="C1090" i="1"/>
  <c r="D1090" i="1"/>
  <c r="E1090" i="1"/>
  <c r="A1091" i="1"/>
  <c r="C1091" i="1"/>
  <c r="D1091" i="1"/>
  <c r="E1091" i="1"/>
  <c r="A1092" i="1"/>
  <c r="C1092" i="1"/>
  <c r="D1092" i="1"/>
  <c r="E1092" i="1"/>
  <c r="A1093" i="1"/>
  <c r="C1093" i="1"/>
  <c r="D1093" i="1"/>
  <c r="E1093" i="1"/>
  <c r="A1094" i="1"/>
  <c r="C1094" i="1"/>
  <c r="D1094" i="1"/>
  <c r="E1094" i="1"/>
  <c r="A1095" i="1"/>
  <c r="C1095" i="1"/>
  <c r="D1095" i="1"/>
  <c r="E1095" i="1"/>
  <c r="A1096" i="1"/>
  <c r="C1096" i="1"/>
  <c r="D1096" i="1"/>
  <c r="E1096" i="1"/>
  <c r="A1097" i="1"/>
  <c r="C1097" i="1"/>
  <c r="D1097" i="1"/>
  <c r="E1097" i="1"/>
  <c r="A1098" i="1"/>
  <c r="C1098" i="1"/>
  <c r="D1098" i="1"/>
  <c r="E1098" i="1"/>
  <c r="A1099" i="1"/>
  <c r="C1099" i="1"/>
  <c r="D1099" i="1"/>
  <c r="E1099" i="1"/>
  <c r="A1100" i="1"/>
  <c r="C1100" i="1"/>
  <c r="D1100" i="1"/>
  <c r="E1100" i="1"/>
  <c r="A1101" i="1"/>
  <c r="C1101" i="1"/>
  <c r="D1101" i="1"/>
  <c r="E1101" i="1"/>
  <c r="A1102" i="1"/>
  <c r="C1102" i="1"/>
  <c r="D1102" i="1"/>
  <c r="E1102" i="1"/>
  <c r="A1103" i="1"/>
  <c r="C1103" i="1"/>
  <c r="D1103" i="1"/>
  <c r="E1103" i="1"/>
  <c r="A1104" i="1"/>
  <c r="C1104" i="1"/>
  <c r="D1104" i="1"/>
  <c r="E1104" i="1"/>
  <c r="A1105" i="1"/>
  <c r="C1105" i="1"/>
  <c r="D1105" i="1"/>
  <c r="E1105" i="1"/>
  <c r="A1106" i="1"/>
  <c r="C1106" i="1"/>
  <c r="D1106" i="1"/>
  <c r="E1106" i="1"/>
  <c r="A1107" i="1"/>
  <c r="C1107" i="1"/>
  <c r="D1107" i="1"/>
  <c r="E1107" i="1"/>
  <c r="A1108" i="1"/>
  <c r="C1108" i="1"/>
  <c r="D1108" i="1"/>
  <c r="E1108" i="1"/>
  <c r="A1109" i="1"/>
  <c r="C1109" i="1"/>
  <c r="D1109" i="1"/>
  <c r="E1109" i="1"/>
  <c r="A1110" i="1"/>
  <c r="C1110" i="1"/>
  <c r="D1110" i="1"/>
  <c r="E1110" i="1"/>
  <c r="A1111" i="1"/>
  <c r="C1111" i="1"/>
  <c r="D1111" i="1"/>
  <c r="E1111" i="1"/>
  <c r="A1112" i="1"/>
  <c r="C1112" i="1"/>
  <c r="D1112" i="1"/>
  <c r="E1112" i="1"/>
  <c r="A1113" i="1"/>
  <c r="C1113" i="1"/>
  <c r="D1113" i="1"/>
  <c r="E1113" i="1"/>
  <c r="A1114" i="1"/>
  <c r="C1114" i="1"/>
  <c r="D1114" i="1"/>
  <c r="E1114" i="1"/>
  <c r="A1115" i="1"/>
  <c r="C1115" i="1"/>
  <c r="D1115" i="1"/>
  <c r="E1115" i="1"/>
  <c r="A1116" i="1"/>
  <c r="C1116" i="1"/>
  <c r="D1116" i="1"/>
  <c r="E1116" i="1"/>
  <c r="A1117" i="1"/>
  <c r="C1117" i="1"/>
  <c r="D1117" i="1"/>
  <c r="E1117" i="1"/>
  <c r="A1118" i="1"/>
  <c r="C1118" i="1"/>
  <c r="D1118" i="1"/>
  <c r="E1118" i="1"/>
  <c r="A1119" i="1"/>
  <c r="C1119" i="1"/>
  <c r="D1119" i="1"/>
  <c r="E1119" i="1"/>
  <c r="A1120" i="1"/>
  <c r="C1120" i="1"/>
  <c r="D1120" i="1"/>
  <c r="E1120" i="1"/>
  <c r="A1121" i="1"/>
  <c r="C1121" i="1"/>
  <c r="D1121" i="1"/>
  <c r="E1121" i="1"/>
  <c r="A1122" i="1"/>
  <c r="C1122" i="1"/>
  <c r="D1122" i="1"/>
  <c r="E1122" i="1"/>
  <c r="A1123" i="1"/>
  <c r="C1123" i="1"/>
  <c r="D1123" i="1"/>
  <c r="E1123" i="1"/>
  <c r="A1124" i="1"/>
  <c r="C1124" i="1"/>
  <c r="D1124" i="1"/>
  <c r="E1124" i="1"/>
  <c r="A1125" i="1"/>
  <c r="C1125" i="1"/>
  <c r="D1125" i="1"/>
  <c r="E1125" i="1"/>
  <c r="A1126" i="1"/>
  <c r="C1126" i="1"/>
  <c r="D1126" i="1"/>
  <c r="E1126" i="1"/>
  <c r="A1127" i="1"/>
  <c r="C1127" i="1"/>
  <c r="D1127" i="1"/>
  <c r="E1127" i="1"/>
  <c r="A1128" i="1"/>
  <c r="C1128" i="1"/>
  <c r="D1128" i="1"/>
  <c r="E1128" i="1"/>
  <c r="A1129" i="1"/>
  <c r="C1129" i="1"/>
  <c r="D1129" i="1"/>
  <c r="E1129" i="1"/>
  <c r="A1130" i="1"/>
  <c r="C1130" i="1"/>
  <c r="D1130" i="1"/>
  <c r="E1130" i="1"/>
  <c r="A1131" i="1"/>
  <c r="C1131" i="1"/>
  <c r="D1131" i="1"/>
  <c r="E1131" i="1"/>
  <c r="A1132" i="1"/>
  <c r="C1132" i="1"/>
  <c r="D1132" i="1"/>
  <c r="E1132" i="1"/>
  <c r="A1133" i="1"/>
  <c r="C1133" i="1"/>
  <c r="D1133" i="1"/>
  <c r="E1133" i="1"/>
  <c r="A1134" i="1"/>
  <c r="C1134" i="1"/>
  <c r="D1134" i="1"/>
  <c r="E1134" i="1"/>
  <c r="A1135" i="1"/>
  <c r="C1135" i="1"/>
  <c r="D1135" i="1"/>
  <c r="E1135" i="1"/>
  <c r="A1136" i="1"/>
  <c r="C1136" i="1"/>
  <c r="D1136" i="1"/>
  <c r="E1136" i="1"/>
  <c r="A1137" i="1"/>
  <c r="C1137" i="1"/>
  <c r="D1137" i="1"/>
  <c r="E1137" i="1"/>
  <c r="A1138" i="1"/>
  <c r="C1138" i="1"/>
  <c r="D1138" i="1"/>
  <c r="E1138" i="1"/>
  <c r="A1139" i="1"/>
  <c r="C1139" i="1"/>
  <c r="D1139" i="1"/>
  <c r="E1139" i="1"/>
  <c r="A1140" i="1"/>
  <c r="C1140" i="1"/>
  <c r="D1140" i="1"/>
  <c r="E1140" i="1"/>
  <c r="A1141" i="1"/>
  <c r="C1141" i="1"/>
  <c r="D1141" i="1"/>
  <c r="E1141" i="1"/>
  <c r="A1142" i="1"/>
  <c r="C1142" i="1"/>
  <c r="D1142" i="1"/>
  <c r="E1142" i="1"/>
  <c r="A1143" i="1"/>
  <c r="C1143" i="1"/>
  <c r="D1143" i="1"/>
  <c r="E1143" i="1"/>
  <c r="A1144" i="1"/>
  <c r="C1144" i="1"/>
  <c r="D1144" i="1"/>
  <c r="E1144" i="1"/>
  <c r="A1145" i="1"/>
  <c r="C1145" i="1"/>
  <c r="D1145" i="1"/>
  <c r="E1145" i="1"/>
  <c r="A1146" i="1"/>
  <c r="C1146" i="1"/>
  <c r="D1146" i="1"/>
  <c r="E1146" i="1"/>
  <c r="A1147" i="1"/>
  <c r="C1147" i="1"/>
  <c r="D1147" i="1"/>
  <c r="E1147" i="1"/>
  <c r="A1148" i="1"/>
  <c r="C1148" i="1"/>
  <c r="D1148" i="1"/>
  <c r="E1148" i="1"/>
  <c r="A1149" i="1"/>
  <c r="C1149" i="1"/>
  <c r="D1149" i="1"/>
  <c r="E1149" i="1"/>
  <c r="A1150" i="1"/>
  <c r="C1150" i="1"/>
  <c r="D1150" i="1"/>
  <c r="E1150" i="1"/>
  <c r="A1151" i="1"/>
  <c r="C1151" i="1"/>
  <c r="D1151" i="1"/>
  <c r="E1151" i="1"/>
  <c r="A1152" i="1"/>
  <c r="C1152" i="1"/>
  <c r="D1152" i="1"/>
  <c r="E1152" i="1"/>
  <c r="A1153" i="1"/>
  <c r="C1153" i="1"/>
  <c r="D1153" i="1"/>
  <c r="E1153" i="1"/>
  <c r="A1154" i="1"/>
  <c r="C1154" i="1"/>
  <c r="D1154" i="1"/>
  <c r="E1154" i="1"/>
  <c r="A1155" i="1"/>
  <c r="C1155" i="1"/>
  <c r="D1155" i="1"/>
  <c r="E1155" i="1"/>
  <c r="A1156" i="1"/>
  <c r="C1156" i="1"/>
  <c r="D1156" i="1"/>
  <c r="E1156" i="1"/>
  <c r="A1157" i="1"/>
  <c r="C1157" i="1"/>
  <c r="D1157" i="1"/>
  <c r="E1157" i="1"/>
  <c r="A1158" i="1"/>
  <c r="C1158" i="1"/>
  <c r="D1158" i="1"/>
  <c r="E1158" i="1"/>
  <c r="A1159" i="1"/>
  <c r="C1159" i="1"/>
  <c r="D1159" i="1"/>
  <c r="E1159" i="1"/>
  <c r="A1160" i="1"/>
  <c r="C1160" i="1"/>
  <c r="D1160" i="1"/>
  <c r="E1160" i="1"/>
  <c r="A1161" i="1"/>
  <c r="C1161" i="1"/>
  <c r="D1161" i="1"/>
  <c r="E1161" i="1"/>
  <c r="A1162" i="1"/>
  <c r="C1162" i="1"/>
  <c r="D1162" i="1"/>
  <c r="E1162" i="1"/>
  <c r="A1163" i="1"/>
  <c r="C1163" i="1"/>
  <c r="D1163" i="1"/>
  <c r="E1163" i="1"/>
  <c r="A1164" i="1"/>
  <c r="C1164" i="1"/>
  <c r="D1164" i="1"/>
  <c r="E1164" i="1"/>
  <c r="A1165" i="1"/>
  <c r="C1165" i="1"/>
  <c r="D1165" i="1"/>
  <c r="E1165" i="1"/>
  <c r="A1166" i="1"/>
  <c r="C1166" i="1"/>
  <c r="D1166" i="1"/>
  <c r="E1166" i="1"/>
  <c r="A1167" i="1"/>
  <c r="C1167" i="1"/>
  <c r="D1167" i="1"/>
  <c r="E1167" i="1"/>
  <c r="A1168" i="1"/>
  <c r="C1168" i="1"/>
  <c r="D1168" i="1"/>
  <c r="E1168" i="1"/>
  <c r="A1169" i="1"/>
  <c r="C1169" i="1"/>
  <c r="D1169" i="1"/>
  <c r="E1169" i="1"/>
  <c r="A1170" i="1"/>
  <c r="C1170" i="1"/>
  <c r="D1170" i="1"/>
  <c r="E1170" i="1"/>
  <c r="A1171" i="1"/>
  <c r="C1171" i="1"/>
  <c r="D1171" i="1"/>
  <c r="E1171" i="1"/>
  <c r="A1172" i="1"/>
  <c r="C1172" i="1"/>
  <c r="D1172" i="1"/>
  <c r="E1172" i="1"/>
  <c r="A1173" i="1"/>
  <c r="C1173" i="1"/>
  <c r="D1173" i="1"/>
  <c r="E1173" i="1"/>
  <c r="A1174" i="1"/>
  <c r="C1174" i="1"/>
  <c r="D1174" i="1"/>
  <c r="E1174" i="1"/>
  <c r="A1175" i="1"/>
  <c r="C1175" i="1"/>
  <c r="D1175" i="1"/>
  <c r="E1175" i="1"/>
  <c r="A1176" i="1"/>
  <c r="C1176" i="1"/>
  <c r="D1176" i="1"/>
  <c r="E1176" i="1"/>
  <c r="A1177" i="1"/>
  <c r="C1177" i="1"/>
  <c r="D1177" i="1"/>
  <c r="E1177" i="1"/>
  <c r="A1178" i="1"/>
  <c r="C1178" i="1"/>
  <c r="D1178" i="1"/>
  <c r="E1178" i="1"/>
  <c r="A1179" i="1"/>
  <c r="C1179" i="1"/>
  <c r="D1179" i="1"/>
  <c r="E1179" i="1"/>
  <c r="A1180" i="1"/>
  <c r="C1180" i="1"/>
  <c r="D1180" i="1"/>
  <c r="E1180" i="1"/>
  <c r="A1181" i="1"/>
  <c r="C1181" i="1"/>
  <c r="D1181" i="1"/>
  <c r="E1181" i="1"/>
  <c r="A1182" i="1"/>
  <c r="C1182" i="1"/>
  <c r="D1182" i="1"/>
  <c r="E1182" i="1"/>
  <c r="A1183" i="1"/>
  <c r="C1183" i="1"/>
  <c r="D1183" i="1"/>
  <c r="E1183" i="1"/>
  <c r="A1184" i="1"/>
  <c r="C1184" i="1"/>
  <c r="D1184" i="1"/>
  <c r="E1184" i="1"/>
  <c r="A1185" i="1"/>
  <c r="C1185" i="1"/>
  <c r="D1185" i="1"/>
  <c r="E1185" i="1"/>
  <c r="A1186" i="1"/>
  <c r="C1186" i="1"/>
  <c r="D1186" i="1"/>
  <c r="E1186" i="1"/>
  <c r="A1187" i="1"/>
  <c r="C1187" i="1"/>
  <c r="D1187" i="1"/>
  <c r="E1187" i="1"/>
  <c r="A1188" i="1"/>
  <c r="C1188" i="1"/>
  <c r="D1188" i="1"/>
  <c r="E1188" i="1"/>
  <c r="A1189" i="1"/>
  <c r="C1189" i="1"/>
  <c r="D1189" i="1"/>
  <c r="E1189" i="1"/>
  <c r="A1190" i="1"/>
  <c r="C1190" i="1"/>
  <c r="D1190" i="1"/>
  <c r="E1190" i="1"/>
  <c r="A1191" i="1"/>
  <c r="C1191" i="1"/>
  <c r="D1191" i="1"/>
  <c r="E1191" i="1"/>
  <c r="A1192" i="1"/>
  <c r="C1192" i="1"/>
  <c r="D1192" i="1"/>
  <c r="E1192" i="1"/>
  <c r="A1193" i="1"/>
  <c r="C1193" i="1"/>
  <c r="D1193" i="1"/>
  <c r="E1193" i="1"/>
  <c r="A1194" i="1"/>
  <c r="C1194" i="1"/>
  <c r="D1194" i="1"/>
  <c r="E1194" i="1"/>
  <c r="A1195" i="1"/>
  <c r="C1195" i="1"/>
  <c r="D1195" i="1"/>
  <c r="E1195" i="1"/>
  <c r="A1196" i="1"/>
  <c r="C1196" i="1"/>
  <c r="D1196" i="1"/>
  <c r="E1196" i="1"/>
  <c r="A1197" i="1"/>
  <c r="C1197" i="1"/>
  <c r="D1197" i="1"/>
  <c r="E1197" i="1"/>
  <c r="A1198" i="1"/>
  <c r="C1198" i="1"/>
  <c r="D1198" i="1"/>
  <c r="E1198" i="1"/>
  <c r="A1199" i="1"/>
  <c r="C1199" i="1"/>
  <c r="D1199" i="1"/>
  <c r="E1199" i="1"/>
  <c r="A1200" i="1"/>
  <c r="C1200" i="1"/>
  <c r="D1200" i="1"/>
  <c r="E1200" i="1"/>
  <c r="A1201" i="1"/>
  <c r="C1201" i="1"/>
  <c r="D1201" i="1"/>
  <c r="E1201" i="1"/>
  <c r="A1202" i="1"/>
  <c r="C1202" i="1"/>
  <c r="D1202" i="1"/>
  <c r="E1202" i="1"/>
  <c r="A1203" i="1"/>
  <c r="C1203" i="1"/>
  <c r="D1203" i="1"/>
  <c r="E1203" i="1"/>
  <c r="A1204" i="1"/>
  <c r="C1204" i="1"/>
  <c r="D1204" i="1"/>
  <c r="E1204" i="1"/>
  <c r="A1205" i="1"/>
  <c r="C1205" i="1"/>
  <c r="D1205" i="1"/>
  <c r="E1205" i="1"/>
  <c r="A1206" i="1"/>
  <c r="C1206" i="1"/>
  <c r="D1206" i="1"/>
  <c r="E1206" i="1"/>
  <c r="A1207" i="1"/>
  <c r="C1207" i="1"/>
  <c r="D1207" i="1"/>
  <c r="E1207" i="1"/>
  <c r="A1208" i="1"/>
  <c r="C1208" i="1"/>
  <c r="D1208" i="1"/>
  <c r="E1208" i="1"/>
  <c r="A1209" i="1"/>
  <c r="C1209" i="1"/>
  <c r="D1209" i="1"/>
  <c r="E1209" i="1"/>
  <c r="A1210" i="1"/>
  <c r="C1210" i="1"/>
  <c r="D1210" i="1"/>
  <c r="E1210" i="1"/>
  <c r="A1211" i="1"/>
  <c r="C1211" i="1"/>
  <c r="D1211" i="1"/>
  <c r="E1211" i="1"/>
  <c r="A1212" i="1"/>
  <c r="C1212" i="1"/>
  <c r="D1212" i="1"/>
  <c r="E1212" i="1"/>
  <c r="A1213" i="1"/>
  <c r="C1213" i="1"/>
  <c r="D1213" i="1"/>
  <c r="E1213" i="1"/>
  <c r="A1214" i="1"/>
  <c r="C1214" i="1"/>
  <c r="D1214" i="1"/>
  <c r="E1214" i="1"/>
  <c r="A1215" i="1"/>
  <c r="C1215" i="1"/>
  <c r="D1215" i="1"/>
  <c r="E1215" i="1"/>
  <c r="A1216" i="1"/>
  <c r="C1216" i="1"/>
  <c r="D1216" i="1"/>
  <c r="E1216" i="1"/>
  <c r="A1217" i="1"/>
  <c r="C1217" i="1"/>
  <c r="D1217" i="1"/>
  <c r="E1217" i="1"/>
  <c r="A1218" i="1"/>
  <c r="C1218" i="1"/>
  <c r="D1218" i="1"/>
  <c r="E1218" i="1"/>
  <c r="A1219" i="1"/>
  <c r="C1219" i="1"/>
  <c r="D1219" i="1"/>
  <c r="E1219" i="1"/>
  <c r="A1220" i="1"/>
  <c r="C1220" i="1"/>
  <c r="D1220" i="1"/>
  <c r="E1220" i="1"/>
  <c r="A1221" i="1"/>
  <c r="C1221" i="1"/>
  <c r="D1221" i="1"/>
  <c r="E1221" i="1"/>
  <c r="A1222" i="1"/>
  <c r="C1222" i="1"/>
  <c r="D1222" i="1"/>
  <c r="E1222" i="1"/>
  <c r="A1223" i="1"/>
  <c r="C1223" i="1"/>
  <c r="D1223" i="1"/>
  <c r="E1223" i="1"/>
  <c r="A1224" i="1"/>
  <c r="C1224" i="1"/>
  <c r="D1224" i="1"/>
  <c r="E1224" i="1"/>
  <c r="A1225" i="1"/>
  <c r="C1225" i="1"/>
  <c r="D1225" i="1"/>
  <c r="E1225" i="1"/>
  <c r="A1226" i="1"/>
  <c r="C1226" i="1"/>
  <c r="D1226" i="1"/>
  <c r="E1226" i="1"/>
  <c r="A1227" i="1"/>
  <c r="C1227" i="1"/>
  <c r="D1227" i="1"/>
  <c r="E1227" i="1"/>
  <c r="A1228" i="1"/>
  <c r="C1228" i="1"/>
  <c r="D1228" i="1"/>
  <c r="E1228" i="1"/>
  <c r="A1229" i="1"/>
  <c r="C1229" i="1"/>
  <c r="D1229" i="1"/>
  <c r="E1229" i="1"/>
  <c r="A1230" i="1"/>
  <c r="C1230" i="1"/>
  <c r="D1230" i="1"/>
  <c r="E1230" i="1"/>
  <c r="A1231" i="1"/>
  <c r="C1231" i="1"/>
  <c r="D1231" i="1"/>
  <c r="E1231" i="1"/>
  <c r="A1232" i="1"/>
  <c r="C1232" i="1"/>
  <c r="D1232" i="1"/>
  <c r="E1232" i="1"/>
  <c r="A1233" i="1"/>
  <c r="C1233" i="1"/>
  <c r="D1233" i="1"/>
  <c r="E1233" i="1"/>
  <c r="A1234" i="1"/>
  <c r="C1234" i="1"/>
  <c r="D1234" i="1"/>
  <c r="E1234" i="1"/>
  <c r="A1235" i="1"/>
  <c r="C1235" i="1"/>
  <c r="D1235" i="1"/>
  <c r="E1235" i="1"/>
  <c r="A1236" i="1"/>
  <c r="C1236" i="1"/>
  <c r="D1236" i="1"/>
  <c r="E1236" i="1"/>
  <c r="A1237" i="1"/>
  <c r="C1237" i="1"/>
  <c r="D1237" i="1"/>
  <c r="E1237" i="1"/>
  <c r="A1238" i="1"/>
  <c r="C1238" i="1"/>
  <c r="D1238" i="1"/>
  <c r="E1238" i="1"/>
  <c r="A1239" i="1"/>
  <c r="C1239" i="1"/>
  <c r="D1239" i="1"/>
  <c r="E1239" i="1"/>
  <c r="A1240" i="1"/>
  <c r="C1240" i="1"/>
  <c r="D1240" i="1"/>
  <c r="E1240" i="1"/>
  <c r="A1241" i="1"/>
  <c r="C1241" i="1"/>
  <c r="D1241" i="1"/>
  <c r="E1241" i="1"/>
  <c r="A1242" i="1"/>
  <c r="C1242" i="1"/>
  <c r="D1242" i="1"/>
  <c r="E1242" i="1"/>
  <c r="A1243" i="1"/>
  <c r="C1243" i="1"/>
  <c r="D1243" i="1"/>
  <c r="E1243" i="1"/>
  <c r="A1244" i="1"/>
  <c r="C1244" i="1"/>
  <c r="D1244" i="1"/>
  <c r="E1244" i="1"/>
  <c r="A1245" i="1"/>
  <c r="C1245" i="1"/>
  <c r="D1245" i="1"/>
  <c r="E1245" i="1"/>
  <c r="A1246" i="1"/>
  <c r="C1246" i="1"/>
  <c r="D1246" i="1"/>
  <c r="E1246" i="1"/>
  <c r="A1247" i="1"/>
  <c r="C1247" i="1"/>
  <c r="D1247" i="1"/>
  <c r="E1247" i="1"/>
  <c r="A1248" i="1"/>
  <c r="C1248" i="1"/>
  <c r="D1248" i="1"/>
  <c r="E1248" i="1"/>
  <c r="A1249" i="1"/>
  <c r="C1249" i="1"/>
  <c r="D1249" i="1"/>
  <c r="E1249" i="1"/>
  <c r="A1250" i="1"/>
  <c r="C1250" i="1"/>
  <c r="D1250" i="1"/>
  <c r="E1250" i="1"/>
  <c r="A1251" i="1"/>
  <c r="C1251" i="1"/>
  <c r="D1251" i="1"/>
  <c r="E1251" i="1"/>
  <c r="A1252" i="1"/>
  <c r="C1252" i="1"/>
  <c r="D1252" i="1"/>
  <c r="E1252" i="1"/>
  <c r="A1253" i="1"/>
  <c r="C1253" i="1"/>
  <c r="D1253" i="1"/>
  <c r="E1253" i="1"/>
  <c r="A1254" i="1"/>
  <c r="C1254" i="1"/>
  <c r="D1254" i="1"/>
  <c r="E1254" i="1"/>
  <c r="A1255" i="1"/>
  <c r="C1255" i="1"/>
  <c r="D1255" i="1"/>
  <c r="E1255" i="1"/>
  <c r="A1256" i="1"/>
  <c r="C1256" i="1"/>
  <c r="D1256" i="1"/>
  <c r="E1256" i="1"/>
  <c r="A1257" i="1"/>
  <c r="C1257" i="1"/>
  <c r="D1257" i="1"/>
  <c r="E1257" i="1"/>
  <c r="A1258" i="1"/>
  <c r="C1258" i="1"/>
  <c r="D1258" i="1"/>
  <c r="E1258" i="1"/>
  <c r="A1259" i="1"/>
  <c r="C1259" i="1"/>
  <c r="D1259" i="1"/>
  <c r="E1259" i="1"/>
  <c r="A1260" i="1"/>
  <c r="C1260" i="1"/>
  <c r="D1260" i="1"/>
  <c r="E1260" i="1"/>
  <c r="A1261" i="1"/>
  <c r="C1261" i="1"/>
  <c r="D1261" i="1"/>
  <c r="E1261" i="1"/>
  <c r="A1262" i="1"/>
  <c r="C1262" i="1"/>
  <c r="D1262" i="1"/>
  <c r="E1262" i="1"/>
  <c r="A1263" i="1"/>
  <c r="C1263" i="1"/>
  <c r="D1263" i="1"/>
  <c r="E1263" i="1"/>
  <c r="A1264" i="1"/>
  <c r="C1264" i="1"/>
  <c r="D1264" i="1"/>
  <c r="E1264" i="1"/>
  <c r="A1265" i="1"/>
  <c r="C1265" i="1"/>
  <c r="D1265" i="1"/>
  <c r="E1265" i="1"/>
  <c r="A1266" i="1"/>
  <c r="C1266" i="1"/>
  <c r="D1266" i="1"/>
  <c r="E1266" i="1"/>
  <c r="A1267" i="1"/>
  <c r="C1267" i="1"/>
  <c r="D1267" i="1"/>
  <c r="E1267" i="1"/>
  <c r="A1268" i="1"/>
  <c r="C1268" i="1"/>
  <c r="D1268" i="1"/>
  <c r="E1268" i="1"/>
  <c r="A1269" i="1"/>
  <c r="C1269" i="1"/>
  <c r="D1269" i="1"/>
  <c r="E1269" i="1"/>
  <c r="A1270" i="1"/>
  <c r="C1270" i="1"/>
  <c r="D1270" i="1"/>
  <c r="E1270" i="1"/>
  <c r="A1271" i="1"/>
  <c r="C1271" i="1"/>
  <c r="D1271" i="1"/>
  <c r="E1271" i="1"/>
  <c r="A1272" i="1"/>
  <c r="C1272" i="1"/>
  <c r="D1272" i="1"/>
  <c r="E1272" i="1"/>
  <c r="A1273" i="1"/>
  <c r="C1273" i="1"/>
  <c r="D1273" i="1"/>
  <c r="E1273" i="1"/>
  <c r="A1274" i="1"/>
  <c r="C1274" i="1"/>
  <c r="D1274" i="1"/>
  <c r="E1274" i="1"/>
  <c r="A1275" i="1"/>
  <c r="C1275" i="1"/>
  <c r="D1275" i="1"/>
  <c r="E1275" i="1"/>
  <c r="A1276" i="1"/>
  <c r="C1276" i="1"/>
  <c r="D1276" i="1"/>
  <c r="E1276" i="1"/>
  <c r="A1277" i="1"/>
  <c r="C1277" i="1"/>
  <c r="D1277" i="1"/>
  <c r="E1277" i="1"/>
  <c r="A1278" i="1"/>
  <c r="C1278" i="1"/>
  <c r="D1278" i="1"/>
  <c r="E1278" i="1"/>
  <c r="A1279" i="1"/>
  <c r="C1279" i="1"/>
  <c r="D1279" i="1"/>
  <c r="E1279" i="1"/>
  <c r="A1280" i="1"/>
  <c r="C1280" i="1"/>
  <c r="D1280" i="1"/>
  <c r="E1280" i="1"/>
  <c r="A1281" i="1"/>
  <c r="C1281" i="1"/>
  <c r="D1281" i="1"/>
  <c r="E1281" i="1"/>
  <c r="A1282" i="1"/>
  <c r="C1282" i="1"/>
  <c r="D1282" i="1"/>
  <c r="E1282" i="1"/>
  <c r="A1283" i="1"/>
  <c r="C1283" i="1"/>
  <c r="D1283" i="1"/>
  <c r="E1283" i="1"/>
  <c r="A1284" i="1"/>
  <c r="C1284" i="1"/>
  <c r="D1284" i="1"/>
  <c r="E1284" i="1"/>
  <c r="A1285" i="1"/>
  <c r="C1285" i="1"/>
  <c r="D1285" i="1"/>
  <c r="E1285" i="1"/>
  <c r="A1286" i="1"/>
  <c r="C1286" i="1"/>
  <c r="D1286" i="1"/>
  <c r="E1286" i="1"/>
  <c r="A1287" i="1"/>
  <c r="C1287" i="1"/>
  <c r="D1287" i="1"/>
  <c r="E1287" i="1"/>
  <c r="A1288" i="1"/>
  <c r="C1288" i="1"/>
  <c r="D1288" i="1"/>
  <c r="E1288" i="1"/>
  <c r="A1289" i="1"/>
  <c r="C1289" i="1"/>
  <c r="D1289" i="1"/>
  <c r="E1289" i="1"/>
  <c r="A1290" i="1"/>
  <c r="C1290" i="1"/>
  <c r="D1290" i="1"/>
  <c r="E1290" i="1"/>
  <c r="A1291" i="1"/>
  <c r="C1291" i="1"/>
  <c r="D1291" i="1"/>
  <c r="E1291" i="1"/>
  <c r="A1292" i="1"/>
  <c r="C1292" i="1"/>
  <c r="D1292" i="1"/>
  <c r="E1292" i="1"/>
  <c r="A1293" i="1"/>
  <c r="C1293" i="1"/>
  <c r="D1293" i="1"/>
  <c r="E1293" i="1"/>
  <c r="A1294" i="1"/>
  <c r="C1294" i="1"/>
  <c r="D1294" i="1"/>
  <c r="E1294" i="1"/>
  <c r="A1295" i="1"/>
  <c r="C1295" i="1"/>
  <c r="D1295" i="1"/>
  <c r="E1295" i="1"/>
  <c r="A1296" i="1"/>
  <c r="C1296" i="1"/>
  <c r="D1296" i="1"/>
  <c r="E1296" i="1"/>
  <c r="A1297" i="1"/>
  <c r="C1297" i="1"/>
  <c r="D1297" i="1"/>
  <c r="E1297" i="1"/>
  <c r="A1298" i="1"/>
  <c r="C1298" i="1"/>
  <c r="D1298" i="1"/>
  <c r="E1298" i="1"/>
  <c r="A1299" i="1"/>
  <c r="C1299" i="1"/>
  <c r="D1299" i="1"/>
  <c r="E1299" i="1"/>
  <c r="A1300" i="1"/>
  <c r="C1300" i="1"/>
  <c r="D1300" i="1"/>
  <c r="E1300" i="1"/>
  <c r="A1301" i="1"/>
  <c r="C1301" i="1"/>
  <c r="D1301" i="1"/>
  <c r="E1301" i="1"/>
  <c r="A1302" i="1"/>
  <c r="C1302" i="1"/>
  <c r="D1302" i="1"/>
  <c r="E1302" i="1"/>
  <c r="A1303" i="1"/>
  <c r="C1303" i="1"/>
  <c r="D1303" i="1"/>
  <c r="E1303" i="1"/>
  <c r="A1304" i="1"/>
  <c r="C1304" i="1"/>
  <c r="D1304" i="1"/>
  <c r="E1304" i="1"/>
  <c r="A1305" i="1"/>
  <c r="C1305" i="1"/>
  <c r="D1305" i="1"/>
  <c r="E1305" i="1"/>
  <c r="A1306" i="1"/>
  <c r="C1306" i="1"/>
  <c r="D1306" i="1"/>
  <c r="E1306" i="1"/>
  <c r="A1307" i="1"/>
  <c r="C1307" i="1"/>
  <c r="D1307" i="1"/>
  <c r="E1307" i="1"/>
  <c r="A1308" i="1"/>
  <c r="C1308" i="1"/>
  <c r="D1308" i="1"/>
  <c r="E1308" i="1"/>
  <c r="A1309" i="1"/>
  <c r="C1309" i="1"/>
  <c r="D1309" i="1"/>
  <c r="E1309" i="1"/>
  <c r="A1310" i="1"/>
  <c r="C1310" i="1"/>
  <c r="D1310" i="1"/>
  <c r="E1310" i="1"/>
  <c r="A1311" i="1"/>
  <c r="C1311" i="1"/>
  <c r="D1311" i="1"/>
  <c r="E1311" i="1"/>
  <c r="A1312" i="1"/>
  <c r="C1312" i="1"/>
  <c r="D1312" i="1"/>
  <c r="E1312" i="1"/>
  <c r="A1313" i="1"/>
  <c r="C1313" i="1"/>
  <c r="D1313" i="1"/>
  <c r="E1313" i="1"/>
  <c r="A1314" i="1"/>
  <c r="C1314" i="1"/>
  <c r="D1314" i="1"/>
  <c r="E1314" i="1"/>
  <c r="A1315" i="1"/>
  <c r="C1315" i="1"/>
  <c r="D1315" i="1"/>
  <c r="E1315" i="1"/>
  <c r="A1316" i="1"/>
  <c r="C1316" i="1"/>
  <c r="D1316" i="1"/>
  <c r="E1316" i="1"/>
  <c r="A1317" i="1"/>
  <c r="C1317" i="1"/>
  <c r="D1317" i="1"/>
  <c r="E1317" i="1"/>
  <c r="A1318" i="1"/>
  <c r="C1318" i="1"/>
  <c r="D1318" i="1"/>
  <c r="E1318" i="1"/>
  <c r="A1319" i="1"/>
  <c r="C1319" i="1"/>
  <c r="D1319" i="1"/>
  <c r="E1319" i="1"/>
  <c r="A1320" i="1"/>
  <c r="C1320" i="1"/>
  <c r="D1320" i="1"/>
  <c r="E1320" i="1"/>
  <c r="A1321" i="1"/>
  <c r="C1321" i="1"/>
  <c r="D1321" i="1"/>
  <c r="E1321" i="1"/>
  <c r="A1322" i="1"/>
  <c r="C1322" i="1"/>
  <c r="D1322" i="1"/>
  <c r="E1322" i="1"/>
  <c r="A1323" i="1"/>
  <c r="C1323" i="1"/>
  <c r="D1323" i="1"/>
  <c r="E1323" i="1"/>
  <c r="A1324" i="1"/>
  <c r="C1324" i="1"/>
  <c r="D1324" i="1"/>
  <c r="E1324" i="1"/>
  <c r="A1325" i="1"/>
  <c r="C1325" i="1"/>
  <c r="D1325" i="1"/>
  <c r="E1325" i="1"/>
  <c r="A1326" i="1"/>
  <c r="C1326" i="1"/>
  <c r="D1326" i="1"/>
  <c r="E1326" i="1"/>
</calcChain>
</file>

<file path=xl/sharedStrings.xml><?xml version="1.0" encoding="utf-8"?>
<sst xmlns="http://schemas.openxmlformats.org/spreadsheetml/2006/main" count="5308" uniqueCount="2543">
  <si>
    <t xml:space="preserve">2020 BALTIMORE TAX SALE MCC PROPERTIES STILL NOT ASSIGNED OR REDEEMED                                                                         </t>
  </si>
  <si>
    <t>T/S DATE</t>
  </si>
  <si>
    <t>PROPERTY ADDRESS</t>
  </si>
  <si>
    <t>ZIP</t>
  </si>
  <si>
    <t>BLOCK</t>
  </si>
  <si>
    <t>LOT</t>
  </si>
  <si>
    <t>PROPERTY OWNER</t>
  </si>
  <si>
    <t>CFV VALUE</t>
  </si>
  <si>
    <t>ZONE</t>
  </si>
  <si>
    <t>VACANCY FLAG</t>
  </si>
  <si>
    <t>TOTAL LIENS</t>
  </si>
  <si>
    <t xml:space="preserve">                                                </t>
  </si>
  <si>
    <t xml:space="preserve">1632-1634 ABBOTSTON ST             </t>
  </si>
  <si>
    <t xml:space="preserve">HUTCHINSON, ROHAN O.          </t>
  </si>
  <si>
    <t xml:space="preserve">R-6  </t>
  </si>
  <si>
    <t xml:space="preserve"> </t>
  </si>
  <si>
    <t xml:space="preserve">1718 ABBOTSTON ST                  </t>
  </si>
  <si>
    <t xml:space="preserve">AYANLEYE, ELIZABETH           </t>
  </si>
  <si>
    <t xml:space="preserve">1601 ABBOTSTON ST                  </t>
  </si>
  <si>
    <t xml:space="preserve">N.O.I. SECURITY PATROL        </t>
  </si>
  <si>
    <t xml:space="preserve">1571 ABBOTSTON ST                  </t>
  </si>
  <si>
    <t xml:space="preserve">AMERIFIRST MORTGAGE           </t>
  </si>
  <si>
    <t xml:space="preserve">1653 ABBOTSTON ST                  </t>
  </si>
  <si>
    <t xml:space="preserve">COLDSTREAM HOMESTEAD          </t>
  </si>
  <si>
    <t xml:space="preserve">1659 ABBOTSTON ST                  </t>
  </si>
  <si>
    <t xml:space="preserve">JOHNSON, MARTIN LEE           </t>
  </si>
  <si>
    <t xml:space="preserve">1743 ABBOTSTON ST                  </t>
  </si>
  <si>
    <t xml:space="preserve">DOMINION RENTAL HOLDINGS,LLC  </t>
  </si>
  <si>
    <t xml:space="preserve">0026 N ABINGTON AVE                </t>
  </si>
  <si>
    <t xml:space="preserve">KEITH, WARREN L               </t>
  </si>
  <si>
    <t xml:space="preserve">R-7  </t>
  </si>
  <si>
    <t xml:space="preserve">0107 S ADDISON ST                  </t>
  </si>
  <si>
    <t xml:space="preserve">KILBURN, MICHAEL              </t>
  </si>
  <si>
    <t xml:space="preserve">R-8  </t>
  </si>
  <si>
    <t>Y</t>
  </si>
  <si>
    <t xml:space="preserve">1837 AIKEN ST                      </t>
  </si>
  <si>
    <t xml:space="preserve">L.A.M.B., INC.                </t>
  </si>
  <si>
    <t xml:space="preserve">2144 AIKEN ST                      </t>
  </si>
  <si>
    <t xml:space="preserve">TAYLOR, SAMMY                 </t>
  </si>
  <si>
    <t xml:space="preserve">4740 ALHAMBRA AVE                  </t>
  </si>
  <si>
    <t xml:space="preserve">HANSON, JOYCE                 </t>
  </si>
  <si>
    <t xml:space="preserve">0521 ALLENDALE ST                  </t>
  </si>
  <si>
    <t xml:space="preserve">BROCK, DANIEL HORACE (LIFE)   </t>
  </si>
  <si>
    <t xml:space="preserve">1714 APPLETON ST                   </t>
  </si>
  <si>
    <t>WILLCO MANAGEMENT HOLDINGS, LL</t>
  </si>
  <si>
    <t xml:space="preserve">1717 APPLETON ST                   </t>
  </si>
  <si>
    <t xml:space="preserve">WALKER, CLIFTON D             </t>
  </si>
  <si>
    <t xml:space="preserve">1028 APPLETON ST                   </t>
  </si>
  <si>
    <t xml:space="preserve">TERRY, HARRIET                </t>
  </si>
  <si>
    <t xml:space="preserve">1020 APPLETON ST                   </t>
  </si>
  <si>
    <t xml:space="preserve">COLLINS SR, DARNELL           </t>
  </si>
  <si>
    <t xml:space="preserve">0902 APPLETON ST                   </t>
  </si>
  <si>
    <t>BALTIMORE CITY INVESTMENTS, LL</t>
  </si>
  <si>
    <t xml:space="preserve">0904 APPLETON ST                   </t>
  </si>
  <si>
    <t xml:space="preserve">UP5 BUSINESS TRUST            </t>
  </si>
  <si>
    <t xml:space="preserve">0900 APPLETON ST                   </t>
  </si>
  <si>
    <t xml:space="preserve">GABLEN PROPERTIES, LLC        </t>
  </si>
  <si>
    <t xml:space="preserve">0725 APPLETON ST                   </t>
  </si>
  <si>
    <t xml:space="preserve">JIMMORA ESTATES LTD.          </t>
  </si>
  <si>
    <t xml:space="preserve">0715 APPLETON ST                   </t>
  </si>
  <si>
    <t xml:space="preserve">EMERSON, WILLIAM              </t>
  </si>
  <si>
    <t xml:space="preserve">0713 APPLETON ST                   </t>
  </si>
  <si>
    <t xml:space="preserve">GUYTON, JOHN D                </t>
  </si>
  <si>
    <t xml:space="preserve">0718 APPLETON ST                   </t>
  </si>
  <si>
    <t xml:space="preserve">0606 APPLETON ST                   </t>
  </si>
  <si>
    <t xml:space="preserve">TARVER, EDUARDO               </t>
  </si>
  <si>
    <t xml:space="preserve">0920 N ARLINGTON AVE               </t>
  </si>
  <si>
    <t xml:space="preserve">MARYLAND 25 LLC               </t>
  </si>
  <si>
    <t xml:space="preserve">0517 N ARLINGTON AVE               </t>
  </si>
  <si>
    <t xml:space="preserve">PRINCE, JAMES                 </t>
  </si>
  <si>
    <t xml:space="preserve">0509 N ARLINGTON AVE               </t>
  </si>
  <si>
    <t xml:space="preserve">MURRELL, CEPHUS M             </t>
  </si>
  <si>
    <t xml:space="preserve">6618 ARMSTRONG AVE                 </t>
  </si>
  <si>
    <t xml:space="preserve">BRIGHTON DEVELOPMENT GROUP    </t>
  </si>
  <si>
    <t xml:space="preserve">R-4  </t>
  </si>
  <si>
    <t xml:space="preserve">3003 ARUNAH AVE                    </t>
  </si>
  <si>
    <t xml:space="preserve">MCCULLOUGH, ZETTA P           </t>
  </si>
  <si>
    <t xml:space="preserve">1814 ASHBURTON ST                  </t>
  </si>
  <si>
    <t xml:space="preserve">SHARP, RAYMOND                </t>
  </si>
  <si>
    <t xml:space="preserve">1117 ASHBURTON ST                  </t>
  </si>
  <si>
    <t>HICKS HOUSING &amp; INVESTMENTS, L</t>
  </si>
  <si>
    <t xml:space="preserve">0616 ASHBURTON ST                  </t>
  </si>
  <si>
    <t xml:space="preserve">SIMMS, GREGORY                </t>
  </si>
  <si>
    <t xml:space="preserve">1021 ASHBURTON ST                  </t>
  </si>
  <si>
    <t xml:space="preserve">TABBS, TERRY A.               </t>
  </si>
  <si>
    <t xml:space="preserve">1033 ASHBURTON ST                  </t>
  </si>
  <si>
    <t xml:space="preserve">MEAL MAN 50 PLUS,INC          </t>
  </si>
  <si>
    <t xml:space="preserve">4224 AUDREY AVE                    </t>
  </si>
  <si>
    <t xml:space="preserve">PROBLEM SOLVERS, LLC          </t>
  </si>
  <si>
    <t xml:space="preserve">0020 S AUGUSTA AVE                 </t>
  </si>
  <si>
    <t xml:space="preserve">BAILES, LISA R.               </t>
  </si>
  <si>
    <t xml:space="preserve">R-5  </t>
  </si>
  <si>
    <t xml:space="preserve">0465 S AUGUSTA AVE                 </t>
  </si>
  <si>
    <t xml:space="preserve">WHIMS, GEORGE N.              </t>
  </si>
  <si>
    <t xml:space="preserve">0448 S AUGUSTA AVE                 </t>
  </si>
  <si>
    <t xml:space="preserve">448 S AUGUSTA, LLC            </t>
  </si>
  <si>
    <t xml:space="preserve">2703 BAKER ST                      </t>
  </si>
  <si>
    <t xml:space="preserve">RENEY, SEAN                   </t>
  </si>
  <si>
    <t xml:space="preserve">3110 BAKER ST                      </t>
  </si>
  <si>
    <t xml:space="preserve">LEVI GREEN &amp; WF               </t>
  </si>
  <si>
    <t xml:space="preserve">3133 BAKER ST                      </t>
  </si>
  <si>
    <t xml:space="preserve">C MURRELL BUSINESS            </t>
  </si>
  <si>
    <t xml:space="preserve">3141 BAKER ST                      </t>
  </si>
  <si>
    <t xml:space="preserve">HARDING, BESSIE E             </t>
  </si>
  <si>
    <t xml:space="preserve">2107 BAKER ST                      </t>
  </si>
  <si>
    <t xml:space="preserve">CHRISTOPHER DAVIS             </t>
  </si>
  <si>
    <t xml:space="preserve">0522 BALTIC AVE                    </t>
  </si>
  <si>
    <t xml:space="preserve">KENNETH G MYERS &amp; WF          </t>
  </si>
  <si>
    <t xml:space="preserve">2414 W BALTIMORE ST                </t>
  </si>
  <si>
    <t xml:space="preserve">JONES, KEISHA                 </t>
  </si>
  <si>
    <t xml:space="preserve">2450 W BALTIMORE ST                </t>
  </si>
  <si>
    <t xml:space="preserve">STEWART, JIMMY                </t>
  </si>
  <si>
    <t xml:space="preserve">2452 W BALTIMORE ST                </t>
  </si>
  <si>
    <t xml:space="preserve">VS DAVIS JR PROPERTIES, LLC   </t>
  </si>
  <si>
    <t xml:space="preserve">2519 W BALTIMORE ST                </t>
  </si>
  <si>
    <t xml:space="preserve">JOHNSON, HARRY                </t>
  </si>
  <si>
    <t xml:space="preserve">2304 W BALTIMORE ST                </t>
  </si>
  <si>
    <t xml:space="preserve">WILLIAMS, KATHLEEN            </t>
  </si>
  <si>
    <t xml:space="preserve">2257 W BALTIMORE ST                </t>
  </si>
  <si>
    <t xml:space="preserve">ROSE, NATHAN                  </t>
  </si>
  <si>
    <t xml:space="preserve">4014 BAREVA ROAD                   </t>
  </si>
  <si>
    <t xml:space="preserve">HOLLY ETAL, MAYETTA           </t>
  </si>
  <si>
    <t xml:space="preserve">4013 BATEMAN AVE                   </t>
  </si>
  <si>
    <t xml:space="preserve">RICHARDSON, JOSEPH            </t>
  </si>
  <si>
    <t xml:space="preserve">R-1  </t>
  </si>
  <si>
    <t xml:space="preserve">5008 BEAUFORT AVE                  </t>
  </si>
  <si>
    <t xml:space="preserve">HARTSFIELD, CARLOS            </t>
  </si>
  <si>
    <t xml:space="preserve">5010 BEAUFORT AVE                  </t>
  </si>
  <si>
    <t xml:space="preserve">MONCRIEFF-YEATES, COLIN D.    </t>
  </si>
  <si>
    <t xml:space="preserve">5210 BEAUFORT AVE                  </t>
  </si>
  <si>
    <t xml:space="preserve">PATTERSON, LEUTRAL            </t>
  </si>
  <si>
    <t xml:space="preserve">4715 BEAUFORT AVE                  </t>
  </si>
  <si>
    <t xml:space="preserve">THOMAS, JERRY                 </t>
  </si>
  <si>
    <t xml:space="preserve">5207 BEAUFORT AVE                  </t>
  </si>
  <si>
    <t xml:space="preserve">THIGPEN, BRIAN C.             </t>
  </si>
  <si>
    <t xml:space="preserve">0507 BEAUMONT AVE                  </t>
  </si>
  <si>
    <t xml:space="preserve">MOULDEN, ARTHUR C             </t>
  </si>
  <si>
    <t xml:space="preserve">R-3  </t>
  </si>
  <si>
    <t xml:space="preserve">0818 BEAUMONT AVE                  </t>
  </si>
  <si>
    <t xml:space="preserve">LUCAS, BRENDA                 </t>
  </si>
  <si>
    <t xml:space="preserve">4331 BELAIR ROAD                   </t>
  </si>
  <si>
    <t xml:space="preserve">MARYLAND ASSET GROUP, LLC     </t>
  </si>
  <si>
    <t xml:space="preserve">C-1  </t>
  </si>
  <si>
    <t xml:space="preserve">3008 BELMONT AVE                   </t>
  </si>
  <si>
    <t xml:space="preserve">DONOVAN, DEVIN                </t>
  </si>
  <si>
    <t xml:space="preserve">3012 BELMONT AVE                   </t>
  </si>
  <si>
    <t xml:space="preserve">SCIPIO, YVONNE                </t>
  </si>
  <si>
    <t xml:space="preserve">2937 BELMONT AVE                   </t>
  </si>
  <si>
    <t xml:space="preserve">SMITH, CHARLES E              </t>
  </si>
  <si>
    <t xml:space="preserve">2911 BELMONT AVE                   </t>
  </si>
  <si>
    <t xml:space="preserve">SMITH, TONY J                 </t>
  </si>
  <si>
    <t xml:space="preserve">2904 BELMONT AVE                   </t>
  </si>
  <si>
    <t xml:space="preserve">CARBOR PROPERTIES LLC         </t>
  </si>
  <si>
    <t xml:space="preserve">0824 N BELNORD AVE                 </t>
  </si>
  <si>
    <t xml:space="preserve">GAME OF RUNS, LLC             </t>
  </si>
  <si>
    <t xml:space="preserve">4701 W BELVEDERE AVE               </t>
  </si>
  <si>
    <t xml:space="preserve">YOUNG, PEARL L                </t>
  </si>
  <si>
    <t xml:space="preserve">3400 W BELVEDERE AVE               </t>
  </si>
  <si>
    <t xml:space="preserve">GERMAN, II, MICHAEL J         </t>
  </si>
  <si>
    <t xml:space="preserve">3113 W BELVEDERE AVE               </t>
  </si>
  <si>
    <t xml:space="preserve">FAHIE, JAMES                  </t>
  </si>
  <si>
    <t xml:space="preserve">C-2  </t>
  </si>
  <si>
    <t xml:space="preserve">0903 BENNETT PL                    </t>
  </si>
  <si>
    <t xml:space="preserve">HP BENNETT, LLC               </t>
  </si>
  <si>
    <t xml:space="preserve">0951 BENNETT PL                    </t>
  </si>
  <si>
    <t xml:space="preserve">HP EDMONDSON, LLC             </t>
  </si>
  <si>
    <t xml:space="preserve">0015 N BENTALOU ST                 </t>
  </si>
  <si>
    <t xml:space="preserve">BROWNELL, TIMOTHY             </t>
  </si>
  <si>
    <t xml:space="preserve">0013 N BENTALOU ST                 </t>
  </si>
  <si>
    <t xml:space="preserve">WADDELL, MARION F             </t>
  </si>
  <si>
    <t xml:space="preserve">0480 S BENTALOU ST                 </t>
  </si>
  <si>
    <t xml:space="preserve">ZEGHAB, SORIAYAH              </t>
  </si>
  <si>
    <t xml:space="preserve">0353 S BENTALOU ST                 </t>
  </si>
  <si>
    <t xml:space="preserve">FRAZIER, DARRELL D            </t>
  </si>
  <si>
    <t xml:space="preserve">0414 S BENTALOU ST                 </t>
  </si>
  <si>
    <t xml:space="preserve">CARTER, TAVON                 </t>
  </si>
  <si>
    <t xml:space="preserve">0346 S BENTALOU ST                 </t>
  </si>
  <si>
    <t xml:space="preserve">GEBREMESKEL, ABIY             </t>
  </si>
  <si>
    <t xml:space="preserve">0330 S BENTALOU ST                 </t>
  </si>
  <si>
    <t xml:space="preserve">TEV, LLC                      </t>
  </si>
  <si>
    <t xml:space="preserve">1616 N BENTALOU ST                 </t>
  </si>
  <si>
    <t xml:space="preserve">BUNDY, GEORGE MICHAEL (ETAL)  </t>
  </si>
  <si>
    <t xml:space="preserve">0010 N BENTALOU ST                 </t>
  </si>
  <si>
    <t xml:space="preserve">ANT PROPETIES, LLC            </t>
  </si>
  <si>
    <t xml:space="preserve">0026 N BERNICE AVE                 </t>
  </si>
  <si>
    <t xml:space="preserve">BULLOCK, JOE LYNN             </t>
  </si>
  <si>
    <t xml:space="preserve">1712 N BETHEL ST                   </t>
  </si>
  <si>
    <t xml:space="preserve">CARR, FRANK                   </t>
  </si>
  <si>
    <t xml:space="preserve">1710 N BETHEL ST                   </t>
  </si>
  <si>
    <t xml:space="preserve">GREAT BLACKS IN WAX           </t>
  </si>
  <si>
    <t xml:space="preserve">1714 N BETHEL ST                   </t>
  </si>
  <si>
    <t xml:space="preserve">1714 N BETHEL PROPERTIES, LLC </t>
  </si>
  <si>
    <t xml:space="preserve">2513 E BIDDLE ST                   </t>
  </si>
  <si>
    <t xml:space="preserve">10NC PROPERTIES, LLC          </t>
  </si>
  <si>
    <t xml:space="preserve">2523 E BIDDLE ST                   </t>
  </si>
  <si>
    <t xml:space="preserve">THOMAS, BRAVETT               </t>
  </si>
  <si>
    <t xml:space="preserve">4001 BOARMAN AVE                   </t>
  </si>
  <si>
    <t xml:space="preserve">CHEREMOND, JOSES              </t>
  </si>
  <si>
    <t xml:space="preserve">3903 BOARMAN AVE                   </t>
  </si>
  <si>
    <t xml:space="preserve">WARD, DENISE                  </t>
  </si>
  <si>
    <t xml:space="preserve">2721 BOOKERT DR                    </t>
  </si>
  <si>
    <t xml:space="preserve">CARLTON, CRAIG A              </t>
  </si>
  <si>
    <t xml:space="preserve">1901 BOONE ST                      </t>
  </si>
  <si>
    <t xml:space="preserve">UP7 BUSINESS TRUST            </t>
  </si>
  <si>
    <t xml:space="preserve">2238 BOOTH ST                      </t>
  </si>
  <si>
    <t xml:space="preserve">DUBOSE, SHANELL               </t>
  </si>
  <si>
    <t xml:space="preserve">2121 BOOTH ST                      </t>
  </si>
  <si>
    <t xml:space="preserve">KNIGHT, DESERIE               </t>
  </si>
  <si>
    <t xml:space="preserve">2126 BOYD ST                       </t>
  </si>
  <si>
    <t xml:space="preserve">2008 DRR-ETS, LLC             </t>
  </si>
  <si>
    <t xml:space="preserve">2542 BOYD ST                       </t>
  </si>
  <si>
    <t xml:space="preserve">BERHAN, SOFIYA M              </t>
  </si>
  <si>
    <t xml:space="preserve">1800 BRADDISH AVE                  </t>
  </si>
  <si>
    <t xml:space="preserve">LYNCH, MARCELLA               </t>
  </si>
  <si>
    <t xml:space="preserve">0413 N BRADFORD ST                 </t>
  </si>
  <si>
    <t xml:space="preserve">BROWN, TIMOTHY                </t>
  </si>
  <si>
    <t xml:space="preserve">0621 N BRADFORD ST                 </t>
  </si>
  <si>
    <t xml:space="preserve">HOWARD, KELLY                 </t>
  </si>
  <si>
    <t xml:space="preserve">0623 N BRADFORD ST                 </t>
  </si>
  <si>
    <t xml:space="preserve">0625 N BRADFORD ST                 </t>
  </si>
  <si>
    <t xml:space="preserve">0934 N BRADFORD ST                 </t>
  </si>
  <si>
    <t xml:space="preserve">NIGHTSHADE INVESTMENTS,INC.   </t>
  </si>
  <si>
    <t xml:space="preserve">0922 N BRADFORD ST                 </t>
  </si>
  <si>
    <t xml:space="preserve">WILLIAMS, MICHAEL             </t>
  </si>
  <si>
    <t xml:space="preserve">0902 N BRADFORD ST                 </t>
  </si>
  <si>
    <t xml:space="preserve">PAULINSKI, JOSEPH J           </t>
  </si>
  <si>
    <t xml:space="preserve">0718 N BRADFORD ST                 </t>
  </si>
  <si>
    <t xml:space="preserve">REID, JULIA                   </t>
  </si>
  <si>
    <t xml:space="preserve">0716 N BRADFORD ST                 </t>
  </si>
  <si>
    <t xml:space="preserve">JULMER PROPERTIES, INC        </t>
  </si>
  <si>
    <t xml:space="preserve">0714 N BRADFORD ST                 </t>
  </si>
  <si>
    <t xml:space="preserve">PATTERSON PARK EMERGENCY      </t>
  </si>
  <si>
    <t xml:space="preserve">0708 N BRADFORD ST                 </t>
  </si>
  <si>
    <t xml:space="preserve">LIENLOGIC REO F1, LLC         </t>
  </si>
  <si>
    <t xml:space="preserve">0706 N BRADFORD ST                 </t>
  </si>
  <si>
    <t xml:space="preserve">JULMER PROPERTIES, INC.       </t>
  </si>
  <si>
    <t xml:space="preserve">0818 N BRADFORD ST                 </t>
  </si>
  <si>
    <t xml:space="preserve">BITTLE, CHARLES               </t>
  </si>
  <si>
    <t xml:space="preserve">1503 N BRADFORD ST                 </t>
  </si>
  <si>
    <t xml:space="preserve">CAREY, KENNETH                </t>
  </si>
  <si>
    <t xml:space="preserve">1010 BRANTLEY AVE                  </t>
  </si>
  <si>
    <t xml:space="preserve">PARKER, JAMES                 </t>
  </si>
  <si>
    <t xml:space="preserve">1032 BRANTLEY AVE                  </t>
  </si>
  <si>
    <t xml:space="preserve">PORTEE, CLARENCE              </t>
  </si>
  <si>
    <t xml:space="preserve">1001 BRANTLEY AVE                  </t>
  </si>
  <si>
    <t xml:space="preserve">RUSSELL, MYRTLE               </t>
  </si>
  <si>
    <t xml:space="preserve">3407 BRENTWOOD AVE                 </t>
  </si>
  <si>
    <t xml:space="preserve">LAND RESEARCH ASSOCIATES, LLC </t>
  </si>
  <si>
    <t xml:space="preserve">OS   </t>
  </si>
  <si>
    <t xml:space="preserve">0530 BRIDGEVIEW ROAD               </t>
  </si>
  <si>
    <t xml:space="preserve">JAMES R BURRELL               </t>
  </si>
  <si>
    <t xml:space="preserve">3118 BRIGHTON ST                   </t>
  </si>
  <si>
    <t>SHANDI INVESTMENT GROUP LLC, T</t>
  </si>
  <si>
    <t xml:space="preserve">3211 BRIGHTON ST                   </t>
  </si>
  <si>
    <t xml:space="preserve">BURRIS, HENRY C               </t>
  </si>
  <si>
    <t xml:space="preserve">2902 BRIGHTON ST                   </t>
  </si>
  <si>
    <t xml:space="preserve">FOY II, GLENFORD P.           </t>
  </si>
  <si>
    <t xml:space="preserve">2916 BRIGHTON ST                   </t>
  </si>
  <si>
    <t xml:space="preserve">AMEXXEM HOLDING, LLC          </t>
  </si>
  <si>
    <t xml:space="preserve">3308 BRIGHTON ST                   </t>
  </si>
  <si>
    <t xml:space="preserve">MOORE, NICHELLE L             </t>
  </si>
  <si>
    <t xml:space="preserve">3304 BRIGHTON ST                   </t>
  </si>
  <si>
    <t xml:space="preserve">VENEY, WAYNE LEROY            </t>
  </si>
  <si>
    <t xml:space="preserve">3104 BRIGHTON ST                   </t>
  </si>
  <si>
    <t xml:space="preserve">DUTTON, SHAWN                 </t>
  </si>
  <si>
    <t xml:space="preserve">1808 N BROADWAY                    </t>
  </si>
  <si>
    <t xml:space="preserve">CORMICK ETAL, JEANNETTE       </t>
  </si>
  <si>
    <t xml:space="preserve">0109 N BROADWAY UNIT: CO-208       </t>
  </si>
  <si>
    <t xml:space="preserve">WASHINGTON HILL MUTUAL        </t>
  </si>
  <si>
    <t xml:space="preserve">0100 N BRUCE ST                    </t>
  </si>
  <si>
    <t>ECHO HOUSE MULTI SERVICE CENTE</t>
  </si>
  <si>
    <t xml:space="preserve">0106 N BRUCE ST                    </t>
  </si>
  <si>
    <t xml:space="preserve">0108 N BRUCE ST                    </t>
  </si>
  <si>
    <t xml:space="preserve">0334 N BRUCE ST                    </t>
  </si>
  <si>
    <t xml:space="preserve">SELIGMAN, MICHAEL             </t>
  </si>
  <si>
    <t xml:space="preserve">0323 N BRUCE ST                    </t>
  </si>
  <si>
    <t xml:space="preserve">LYONS, ANDRE                  </t>
  </si>
  <si>
    <t xml:space="preserve">0339 N BRUCE ST                    </t>
  </si>
  <si>
    <t xml:space="preserve">KEEMER, LARRY D               </t>
  </si>
  <si>
    <t xml:space="preserve">0227 N BRUCE ST                    </t>
  </si>
  <si>
    <t xml:space="preserve">WEEKES, GLEN                  </t>
  </si>
  <si>
    <t xml:space="preserve">0235 N BRUCE ST                    </t>
  </si>
  <si>
    <t xml:space="preserve">WOMACK, BRUCE                 </t>
  </si>
  <si>
    <t xml:space="preserve">0104 N BRUCE ST                    </t>
  </si>
  <si>
    <t xml:space="preserve">0102 N BRUCE ST                    </t>
  </si>
  <si>
    <t xml:space="preserve">0332 S BRUCE ST                    </t>
  </si>
  <si>
    <t xml:space="preserve">MILLER, CHARLES L             </t>
  </si>
  <si>
    <t xml:space="preserve">1406 N BRUCE ST                    </t>
  </si>
  <si>
    <t xml:space="preserve">GEORGE, ALABA                 </t>
  </si>
  <si>
    <t xml:space="preserve">2325 BRYANT AVE                    </t>
  </si>
  <si>
    <t xml:space="preserve">GRANITE HOLDINGS, LLC         </t>
  </si>
  <si>
    <t xml:space="preserve">2214 BRYANT AVE                    </t>
  </si>
  <si>
    <t xml:space="preserve">A &amp;S MANAGEMENT, LLC          </t>
  </si>
  <si>
    <t xml:space="preserve">2218 BRYANT AVE                    </t>
  </si>
  <si>
    <t xml:space="preserve">MURRELL, CEPHUS               </t>
  </si>
  <si>
    <t xml:space="preserve">1300 N CALHOUN ST                  </t>
  </si>
  <si>
    <t>HOUSING ASSISTANCE CORPORATION</t>
  </si>
  <si>
    <t xml:space="preserve">1382 N CALHOUN ST                  </t>
  </si>
  <si>
    <t xml:space="preserve">RAINS, NICHOLAS               </t>
  </si>
  <si>
    <t xml:space="preserve">1732 N CALHOUN ST                  </t>
  </si>
  <si>
    <t xml:space="preserve">NB5 BUSINESS TRUST            </t>
  </si>
  <si>
    <t xml:space="preserve">1720 N CALHOUN ST                  </t>
  </si>
  <si>
    <t xml:space="preserve">MCNEILL, DORIS L              </t>
  </si>
  <si>
    <t xml:space="preserve">0228 S CALHOUN ST                  </t>
  </si>
  <si>
    <t xml:space="preserve">EDOUARD &amp; LOUD HOLDINGS, LLC  </t>
  </si>
  <si>
    <t xml:space="preserve">0412 S CALHOUN ST                  </t>
  </si>
  <si>
    <t>BALTIMORE VIRGINIA HOLDING, LL</t>
  </si>
  <si>
    <t xml:space="preserve">0331 S CALHOUN ST                  </t>
  </si>
  <si>
    <t xml:space="preserve">MONARCH DEVELOPMENT, LLC      </t>
  </si>
  <si>
    <t xml:space="preserve">0018 N CALHOUN ST                  </t>
  </si>
  <si>
    <t xml:space="preserve">TODD, ROBERT H                </t>
  </si>
  <si>
    <t xml:space="preserve">0518 N CALHOUN ST                  </t>
  </si>
  <si>
    <t xml:space="preserve">KNOX JR., CLARENCE L          </t>
  </si>
  <si>
    <t xml:space="preserve">0514 N CALHOUN ST                  </t>
  </si>
  <si>
    <t xml:space="preserve">MACK, ELIZABETH A             </t>
  </si>
  <si>
    <t xml:space="preserve">0020 N CALHOUN ST                  </t>
  </si>
  <si>
    <t xml:space="preserve">MIAN, AHMAD S                 </t>
  </si>
  <si>
    <t xml:space="preserve">0517 N CALHOUN ST                  </t>
  </si>
  <si>
    <t xml:space="preserve">BRUCE GOLDBERG, INC.          </t>
  </si>
  <si>
    <t xml:space="preserve">0515 N CALHOUN ST                  </t>
  </si>
  <si>
    <t xml:space="preserve">HENLY, ANGELA                 </t>
  </si>
  <si>
    <t xml:space="preserve">0705 N CALHOUN ST                  </t>
  </si>
  <si>
    <t xml:space="preserve">HUTTO, RUDOLPH                </t>
  </si>
  <si>
    <t xml:space="preserve">0905 N CALHOUN ST                  </t>
  </si>
  <si>
    <t xml:space="preserve">JONES, CARMILLA               </t>
  </si>
  <si>
    <t xml:space="preserve">2422 CALLOW AVE                    </t>
  </si>
  <si>
    <t xml:space="preserve">RESERVOIR HILL HOUSING, LLC   </t>
  </si>
  <si>
    <t xml:space="preserve">0017 S CALVERTON ROAD              </t>
  </si>
  <si>
    <t>LACOUR CONSULTING &amp; CONTRACTIN</t>
  </si>
  <si>
    <t xml:space="preserve">2403 CALVERTON HEIGHTS AVE         </t>
  </si>
  <si>
    <t xml:space="preserve">LONG JR., FRANK               </t>
  </si>
  <si>
    <t xml:space="preserve">2502 CALVERTON HEIGHTS AVE         </t>
  </si>
  <si>
    <t xml:space="preserve">RMS TARGET PROPERTIES, LLC    </t>
  </si>
  <si>
    <t xml:space="preserve">2522 CALVERTON HEIGHTS AVE         </t>
  </si>
  <si>
    <t xml:space="preserve">SMITH, VERONICA C.            </t>
  </si>
  <si>
    <t xml:space="preserve">0510 N CAREY ST                    </t>
  </si>
  <si>
    <t xml:space="preserve">WILHITE, VERNETTA             </t>
  </si>
  <si>
    <t xml:space="preserve">0517 N CAREY ST                    </t>
  </si>
  <si>
    <t xml:space="preserve">BRADLEY, MICHAEL E            </t>
  </si>
  <si>
    <t xml:space="preserve">0537 N CAREY ST                    </t>
  </si>
  <si>
    <t xml:space="preserve">FERGUSON, WILLIAM             </t>
  </si>
  <si>
    <t xml:space="preserve">0529 N CAREY ST                    </t>
  </si>
  <si>
    <t xml:space="preserve">KILDARE, VERONICA             </t>
  </si>
  <si>
    <t xml:space="preserve">0535 N CAREY ST                    </t>
  </si>
  <si>
    <t xml:space="preserve">INVELON LLC                   </t>
  </si>
  <si>
    <t xml:space="preserve">0823 N CAREY ST                    </t>
  </si>
  <si>
    <t xml:space="preserve">ST. PIUS V. HOUSING           </t>
  </si>
  <si>
    <t xml:space="preserve">1111 N CAREY ST                    </t>
  </si>
  <si>
    <t xml:space="preserve">ONE PINE VIII LLC             </t>
  </si>
  <si>
    <t xml:space="preserve">1103 N CAREY ST                    </t>
  </si>
  <si>
    <t>SANCHEZ RENTAL PROPERTIES, LLC</t>
  </si>
  <si>
    <t xml:space="preserve">1101 N CAREY ST                    </t>
  </si>
  <si>
    <t xml:space="preserve">SAROYA INTERNATIONAL INC      </t>
  </si>
  <si>
    <t xml:space="preserve">1136 N CAREY ST                    </t>
  </si>
  <si>
    <t xml:space="preserve">COATES SR., ROBERT R          </t>
  </si>
  <si>
    <t xml:space="preserve">1102 N CAREY ST                    </t>
  </si>
  <si>
    <t xml:space="preserve">WILSON, GEORGIA B             </t>
  </si>
  <si>
    <t xml:space="preserve">0618 N CAREY ST                    </t>
  </si>
  <si>
    <t xml:space="preserve">NASHVILLE REALTY              </t>
  </si>
  <si>
    <t xml:space="preserve">0608 N CAREY ST                    </t>
  </si>
  <si>
    <t xml:space="preserve">ADEDOYIN, IAMODU              </t>
  </si>
  <si>
    <t xml:space="preserve">0631 N CAREY ST                    </t>
  </si>
  <si>
    <t xml:space="preserve">EAGLE PROPERTIES, INC.        </t>
  </si>
  <si>
    <t xml:space="preserve">0635 N CAREY ST                    </t>
  </si>
  <si>
    <t xml:space="preserve">CORBETT, ESSIE TRUS.          </t>
  </si>
  <si>
    <t xml:space="preserve">0633 N CAREY ST                    </t>
  </si>
  <si>
    <t xml:space="preserve">DUNN, JOHN D                  </t>
  </si>
  <si>
    <t xml:space="preserve">0626 N CAREY ST                    </t>
  </si>
  <si>
    <t xml:space="preserve">HOUSING AMERICA THROUGH       </t>
  </si>
  <si>
    <t xml:space="preserve">1718 N CAREY ST                    </t>
  </si>
  <si>
    <t xml:space="preserve">STEPS HOME, LLC               </t>
  </si>
  <si>
    <t xml:space="preserve">1720 N CAREY ST                    </t>
  </si>
  <si>
    <t xml:space="preserve">SIMPSON, SHARON               </t>
  </si>
  <si>
    <t xml:space="preserve">1714 N CAREY ST                    </t>
  </si>
  <si>
    <t xml:space="preserve">1712 N CAREY ST                    </t>
  </si>
  <si>
    <t xml:space="preserve">1644 CARSWELL ST                   </t>
  </si>
  <si>
    <t xml:space="preserve">ADOPT-A-HOUSE DEVELOPMENT     </t>
  </si>
  <si>
    <t xml:space="preserve">1539 CARSWELL ST                   </t>
  </si>
  <si>
    <t xml:space="preserve">CARTER, HARDING               </t>
  </si>
  <si>
    <t xml:space="preserve">1743 CARSWELL ST                   </t>
  </si>
  <si>
    <t xml:space="preserve">BALTIMORE PROPERTIES NO. 1    </t>
  </si>
  <si>
    <t xml:space="preserve">1633 CARSWELL ST                   </t>
  </si>
  <si>
    <t xml:space="preserve">LEWIS, LEON M                 </t>
  </si>
  <si>
    <t xml:space="preserve">1638 CARSWELL ST                   </t>
  </si>
  <si>
    <t xml:space="preserve">1634 CARSWELL ST                   </t>
  </si>
  <si>
    <t xml:space="preserve">JEFFREYS, GREGORY W           </t>
  </si>
  <si>
    <t xml:space="preserve">1700 CARSWELL ST                   </t>
  </si>
  <si>
    <t xml:space="preserve">MT. ZION TEMPLE OF GOD        </t>
  </si>
  <si>
    <t xml:space="preserve">1912 CASADEL AVE                   </t>
  </si>
  <si>
    <t xml:space="preserve">HALAGNA, LUPO                 </t>
  </si>
  <si>
    <t xml:space="preserve">0217 S CATHERINE ST                </t>
  </si>
  <si>
    <t xml:space="preserve">DUPREE, STEPHEN               </t>
  </si>
  <si>
    <t xml:space="preserve">0114 S CATHERINE ST                </t>
  </si>
  <si>
    <t xml:space="preserve">TRAINA, ROBERT                </t>
  </si>
  <si>
    <t xml:space="preserve">0813 CATOR AVE                     </t>
  </si>
  <si>
    <t xml:space="preserve">EVANS, DAVID                  </t>
  </si>
  <si>
    <t xml:space="preserve">1918 CECIL AVE                     </t>
  </si>
  <si>
    <t xml:space="preserve">FADIRAN, MOSES O              </t>
  </si>
  <si>
    <t xml:space="preserve">1919 CECIL AVE                     </t>
  </si>
  <si>
    <t xml:space="preserve">PAIGE, WALTER                 </t>
  </si>
  <si>
    <t xml:space="preserve">2220 CECIL AVE                     </t>
  </si>
  <si>
    <t xml:space="preserve">JOHNSON, CINDY I.             </t>
  </si>
  <si>
    <t xml:space="preserve">5412 CEDELLA AVE                   </t>
  </si>
  <si>
    <t>ROCKY MOUNTAIN INVESTMENTS, LL</t>
  </si>
  <si>
    <t xml:space="preserve">2224 CEDLEY ST                     </t>
  </si>
  <si>
    <t xml:space="preserve">CURRY, GAYLE C                </t>
  </si>
  <si>
    <t xml:space="preserve">1437-1439 N CENTRAL AVE            </t>
  </si>
  <si>
    <t xml:space="preserve">ROBINSON, JOHN H              </t>
  </si>
  <si>
    <t xml:space="preserve">1231 N CENTRAL AVE                 </t>
  </si>
  <si>
    <t xml:space="preserve">PRICE, MELVIN                 </t>
  </si>
  <si>
    <t xml:space="preserve">1229 N CENTRAL AVE                 </t>
  </si>
  <si>
    <t xml:space="preserve">3609 CENTRE PL                     </t>
  </si>
  <si>
    <t xml:space="preserve">PIUNTI, PETE                  </t>
  </si>
  <si>
    <t xml:space="preserve">4916 CHALGROVE AVE                 </t>
  </si>
  <si>
    <t xml:space="preserve">JOHNSON, WALTER               </t>
  </si>
  <si>
    <t xml:space="preserve">1501&gt; N CHAPEL ST                  </t>
  </si>
  <si>
    <t xml:space="preserve">DUNSTON, JOHN H               </t>
  </si>
  <si>
    <t xml:space="preserve">1805 N CHAPEL ST                   </t>
  </si>
  <si>
    <t xml:space="preserve">SYDNOR, MAGGIE M              </t>
  </si>
  <si>
    <t xml:space="preserve">1826 N CHAPEL ST                   </t>
  </si>
  <si>
    <t xml:space="preserve">BLAIR, JAMES                  </t>
  </si>
  <si>
    <t xml:space="preserve">1718 N CHAPEL ST                   </t>
  </si>
  <si>
    <t xml:space="preserve">YANCEY, DONALD                </t>
  </si>
  <si>
    <t xml:space="preserve">2809 E CHASE ST                    </t>
  </si>
  <si>
    <t xml:space="preserve">NEW LEBANON CALVARY           </t>
  </si>
  <si>
    <t xml:space="preserve">2735 E CHASE ST                    </t>
  </si>
  <si>
    <t xml:space="preserve">CLASS ACT REALTY, LLC         </t>
  </si>
  <si>
    <t xml:space="preserve">1525 E CHASE ST                    </t>
  </si>
  <si>
    <t xml:space="preserve">SPIRIT AND TRUTH NEW          </t>
  </si>
  <si>
    <t xml:space="preserve">1908 CHELSEA ROAD                  </t>
  </si>
  <si>
    <t xml:space="preserve">DONALD K MATTHEWS &amp; WF        </t>
  </si>
  <si>
    <t xml:space="preserve">2601 CHELSEA TERR                  </t>
  </si>
  <si>
    <t xml:space="preserve">DAVIS, BOBBIE L               </t>
  </si>
  <si>
    <t xml:space="preserve">0600 CHERATON ROAD                 </t>
  </si>
  <si>
    <t xml:space="preserve">PARKER, BARBARA JEAN          </t>
  </si>
  <si>
    <t xml:space="preserve">0517 CHERRY HILL ROAD              </t>
  </si>
  <si>
    <t xml:space="preserve">BURRELL, JAMES R              </t>
  </si>
  <si>
    <t xml:space="preserve">1750 N CHESTER ST                  </t>
  </si>
  <si>
    <t xml:space="preserve">CLAIBORNE ETAL, ISAIAH        </t>
  </si>
  <si>
    <t xml:space="preserve">1415 N CHESTER ST                  </t>
  </si>
  <si>
    <t xml:space="preserve">BOOKER, DWAINE                </t>
  </si>
  <si>
    <t xml:space="preserve">2417 CHRISTIAN ST                  </t>
  </si>
  <si>
    <t xml:space="preserve">PARKWOOD, LLC                 </t>
  </si>
  <si>
    <t xml:space="preserve">2221 CHRISTIAN ST                  </t>
  </si>
  <si>
    <t xml:space="preserve">WEST BALTIMORE REALTY, INC.   </t>
  </si>
  <si>
    <t xml:space="preserve">2015 CHRISTIAN ST                  </t>
  </si>
  <si>
    <t xml:space="preserve">MURPHY, PATRICK N             </t>
  </si>
  <si>
    <t xml:space="preserve">2021 CHRISTIAN ST                  </t>
  </si>
  <si>
    <t xml:space="preserve">LATIMER, GUY                  </t>
  </si>
  <si>
    <t xml:space="preserve">2028 CHRISTIAN ST                  </t>
  </si>
  <si>
    <t xml:space="preserve">DOSTER, JACQUELINE R          </t>
  </si>
  <si>
    <t xml:space="preserve">2125 CHRISTIAN ST                  </t>
  </si>
  <si>
    <t xml:space="preserve">SAROYA INTERNATIONAL, INC     </t>
  </si>
  <si>
    <t xml:space="preserve">2004 CHRISTIAN ST                  </t>
  </si>
  <si>
    <t xml:space="preserve">KNEEL, TIMOTHY                </t>
  </si>
  <si>
    <t xml:space="preserve">2123 CHRISTIAN ST                  </t>
  </si>
  <si>
    <t xml:space="preserve">CARRANZA, ELSA C              </t>
  </si>
  <si>
    <t xml:space="preserve">2204 CHRISTIAN ST                  </t>
  </si>
  <si>
    <t xml:space="preserve">CELTIC GREEN DEVELOPMENT      </t>
  </si>
  <si>
    <t xml:space="preserve">2002 CHRISTIAN ST                  </t>
  </si>
  <si>
    <t xml:space="preserve">BALSAMO, RICHARD MARK         </t>
  </si>
  <si>
    <t xml:space="preserve">1922 CHRISTIAN ST                  </t>
  </si>
  <si>
    <t xml:space="preserve">LAND L FAMILY GROUP, LLC      </t>
  </si>
  <si>
    <t xml:space="preserve">2213 CHRISTIAN ST                  </t>
  </si>
  <si>
    <t xml:space="preserve">CHRISTIAN STREET ENTERPRISES, </t>
  </si>
  <si>
    <t xml:space="preserve">1934 CHRISTIAN ST                  </t>
  </si>
  <si>
    <t xml:space="preserve">2229 CHRISTIAN ST                  </t>
  </si>
  <si>
    <t xml:space="preserve">CARROLL, BRYAN                </t>
  </si>
  <si>
    <t xml:space="preserve">2225 CHRISTIAN ST                  </t>
  </si>
  <si>
    <t xml:space="preserve">SYED, TABISH                  </t>
  </si>
  <si>
    <t xml:space="preserve">2023 CHRISTIAN ST                  </t>
  </si>
  <si>
    <t xml:space="preserve">BENTLEY, LESLIE               </t>
  </si>
  <si>
    <t xml:space="preserve">0606 CLAYMONT AVE                  </t>
  </si>
  <si>
    <t xml:space="preserve">BROUMAS, JOHN G               </t>
  </si>
  <si>
    <t xml:space="preserve">0600 CLAYMONT AVE                  </t>
  </si>
  <si>
    <t xml:space="preserve">COFFMAN II, TERRY L. (TR)     </t>
  </si>
  <si>
    <t xml:space="preserve">3800 CLIFTON AVE                   </t>
  </si>
  <si>
    <t xml:space="preserve">JOHNSON, VERSEY               </t>
  </si>
  <si>
    <t xml:space="preserve">2026 CLIFTON AVE                   </t>
  </si>
  <si>
    <t xml:space="preserve">LINTON, CHARLENE              </t>
  </si>
  <si>
    <t xml:space="preserve">2019 CLIFTON AVE                   </t>
  </si>
  <si>
    <t xml:space="preserve">BELLO INVESTMENTS, LLC        </t>
  </si>
  <si>
    <t xml:space="preserve">2028 CLIFTWOOD AVE                 </t>
  </si>
  <si>
    <t xml:space="preserve">MULTIPLE HOMES, INC           </t>
  </si>
  <si>
    <t xml:space="preserve">2624 COLE ST                       </t>
  </si>
  <si>
    <t xml:space="preserve">GORMAN JR, JAMES W (ETAL)     </t>
  </si>
  <si>
    <t xml:space="preserve">1815 N COLLINGTON AVE              </t>
  </si>
  <si>
    <t xml:space="preserve">CARROTHERS, THELMA            </t>
  </si>
  <si>
    <t xml:space="preserve">1840 N COLLINGTON AVE              </t>
  </si>
  <si>
    <t xml:space="preserve">400 BUSINESS TRUST            </t>
  </si>
  <si>
    <t xml:space="preserve">0523 N COLLINGTON AVE              </t>
  </si>
  <si>
    <t xml:space="preserve">WEITZEL BROTHERS              </t>
  </si>
  <si>
    <t xml:space="preserve">1119 N COLLINGTON AVE              </t>
  </si>
  <si>
    <t xml:space="preserve">WILLIAMS JR., PHILLIP J       </t>
  </si>
  <si>
    <t xml:space="preserve">1947 N COLLINGTON AVE              </t>
  </si>
  <si>
    <t xml:space="preserve">HOLLAND, LYNNE                </t>
  </si>
  <si>
    <t xml:space="preserve">1951 N COLLINGTON AVE              </t>
  </si>
  <si>
    <t xml:space="preserve">EYRING, DEBORAH               </t>
  </si>
  <si>
    <t xml:space="preserve">1957 N COLLINGTON AVE              </t>
  </si>
  <si>
    <t xml:space="preserve">WILLIAMS, EUGENE              </t>
  </si>
  <si>
    <t xml:space="preserve">1967 N COLLINGTON AVE              </t>
  </si>
  <si>
    <t xml:space="preserve">HENSON JR., ALLEN             </t>
  </si>
  <si>
    <t xml:space="preserve">1905 N COLLINGTON AVE              </t>
  </si>
  <si>
    <t xml:space="preserve">SOLOMON, JOSEPHINE            </t>
  </si>
  <si>
    <t xml:space="preserve">0226 S COLLINS AVE                 </t>
  </si>
  <si>
    <t xml:space="preserve">PINCHBACK, DREW               </t>
  </si>
  <si>
    <t xml:space="preserve">3461 COTTAGE AVE                   </t>
  </si>
  <si>
    <t xml:space="preserve">ALGARARHEN, MOHAMMAD          </t>
  </si>
  <si>
    <t xml:space="preserve">3828 COTTAGE AVE                   </t>
  </si>
  <si>
    <t xml:space="preserve">DAVIS, BRYON                  </t>
  </si>
  <si>
    <t xml:space="preserve">1713 CRYSTAL AVE                   </t>
  </si>
  <si>
    <t xml:space="preserve">1701 CRYSTAL AVE                   </t>
  </si>
  <si>
    <t xml:space="preserve">TARVER, ROLAND N              </t>
  </si>
  <si>
    <t xml:space="preserve">0218 N CULVER ST                   </t>
  </si>
  <si>
    <t xml:space="preserve">WILKES, DONNA M               </t>
  </si>
  <si>
    <t xml:space="preserve">0501 CUMBERLAND ST                 </t>
  </si>
  <si>
    <t xml:space="preserve">GOULD, LEE                    </t>
  </si>
  <si>
    <t xml:space="preserve">0617 CUMBERLAND ST                 </t>
  </si>
  <si>
    <t>SIMMONS MEMORIAL BAPTIST CHURC</t>
  </si>
  <si>
    <t xml:space="preserve">0615 CUMBERLAND ST                 </t>
  </si>
  <si>
    <t xml:space="preserve">0702 N CURLEY ST                   </t>
  </si>
  <si>
    <t xml:space="preserve">GROUP OF GOOD FRIENDS, LLC    </t>
  </si>
  <si>
    <t xml:space="preserve">1207 N CURLEY ST                   </t>
  </si>
  <si>
    <t xml:space="preserve">MCLEAN, JANICE                </t>
  </si>
  <si>
    <t xml:space="preserve">4914 CURTIS AVE                    </t>
  </si>
  <si>
    <t xml:space="preserve">TRUTH TO NEW LIFE APOSTOLIC   </t>
  </si>
  <si>
    <t xml:space="preserve">1516 CYPRESS ST                    </t>
  </si>
  <si>
    <t xml:space="preserve">RV HOLDINGS ELEVEN, LLC       </t>
  </si>
  <si>
    <t xml:space="preserve">1408 N DALLAS ST                   </t>
  </si>
  <si>
    <t xml:space="preserve">RB PROPERTIES &amp; SERVICES, LLC </t>
  </si>
  <si>
    <t xml:space="preserve">1719 N DALLAS ST                   </t>
  </si>
  <si>
    <t xml:space="preserve">SAVOY, DONALD                 </t>
  </si>
  <si>
    <t xml:space="preserve">1739 N DALLAS ST                   </t>
  </si>
  <si>
    <t xml:space="preserve">CHILDS JR, RONALD O           </t>
  </si>
  <si>
    <t xml:space="preserve">1827 N DALLAS ST                   </t>
  </si>
  <si>
    <t xml:space="preserve">TILLMAN, SANDRA               </t>
  </si>
  <si>
    <t xml:space="preserve">1821 N DALLAS ST                   </t>
  </si>
  <si>
    <t xml:space="preserve">JAMATT PROPEERTIES, INC.      </t>
  </si>
  <si>
    <t xml:space="preserve">1832 N DALLAS ST                   </t>
  </si>
  <si>
    <t xml:space="preserve">PALMER, DOROTHY               </t>
  </si>
  <si>
    <t xml:space="preserve">1814 N DALLAS ST                   </t>
  </si>
  <si>
    <t xml:space="preserve">COLEMAN, KENNETH M            </t>
  </si>
  <si>
    <t xml:space="preserve">1120 DARLEY AVE                    </t>
  </si>
  <si>
    <t xml:space="preserve">REED, ELIZABETH               </t>
  </si>
  <si>
    <t xml:space="preserve">1690 DARLEY AVE                    </t>
  </si>
  <si>
    <t xml:space="preserve">SIMPKINS, CLYDE D             </t>
  </si>
  <si>
    <t xml:space="preserve">1741 DARLEY AVE                    </t>
  </si>
  <si>
    <t xml:space="preserve">MIDDELTON, NATALIE            </t>
  </si>
  <si>
    <t xml:space="preserve">0523 N DECKER AVE                  </t>
  </si>
  <si>
    <t xml:space="preserve">HOKIARTO, SOEHONO             </t>
  </si>
  <si>
    <t xml:space="preserve">2431 DENISON ST                    </t>
  </si>
  <si>
    <t xml:space="preserve">CAMPBELL, FRED                </t>
  </si>
  <si>
    <t xml:space="preserve">2433 DENISON ST                    </t>
  </si>
  <si>
    <t xml:space="preserve">AGBAJE, TAIWO A.              </t>
  </si>
  <si>
    <t xml:space="preserve">0628 DENISON ST                    </t>
  </si>
  <si>
    <t xml:space="preserve">DAVOS KORNER, LLC             </t>
  </si>
  <si>
    <t xml:space="preserve">5402 DENMORE AVE                   </t>
  </si>
  <si>
    <t xml:space="preserve">REYNOLDS, NATHAN E            </t>
  </si>
  <si>
    <t xml:space="preserve">5326 DENMORE AVE                   </t>
  </si>
  <si>
    <t xml:space="preserve">JONES, DONNELL L.             </t>
  </si>
  <si>
    <t xml:space="preserve">5335 DENMORE AVE                   </t>
  </si>
  <si>
    <t xml:space="preserve">CE REALTY, LLC                </t>
  </si>
  <si>
    <t xml:space="preserve">1816 DOVER ST                      </t>
  </si>
  <si>
    <t xml:space="preserve">RODRIQUEZ, VICTOR A.          </t>
  </si>
  <si>
    <t xml:space="preserve">1813 DOVER ST                      </t>
  </si>
  <si>
    <t xml:space="preserve">COLEY, STEVEN E.              </t>
  </si>
  <si>
    <t xml:space="preserve">2353 DRUID HILL AVE                </t>
  </si>
  <si>
    <t xml:space="preserve">KASC ASSOCIATES LLC           </t>
  </si>
  <si>
    <t xml:space="preserve">2458 DRUID HILL AVE                </t>
  </si>
  <si>
    <t xml:space="preserve">WILLIAM, PHILLIP              </t>
  </si>
  <si>
    <t xml:space="preserve">0811 N DUKELAND ST                 </t>
  </si>
  <si>
    <t xml:space="preserve">WILLIAMS, ANITA HARRIDAY      </t>
  </si>
  <si>
    <t xml:space="preserve">0801 N DUKELAND ST                 </t>
  </si>
  <si>
    <t xml:space="preserve">THOMPSON, GEROME              </t>
  </si>
  <si>
    <t xml:space="preserve">1700 N DUKELAND ST                 </t>
  </si>
  <si>
    <t xml:space="preserve">PINKETT JR., ROBSOL G         </t>
  </si>
  <si>
    <t xml:space="preserve">0904 N DUKELAND ST                 </t>
  </si>
  <si>
    <t xml:space="preserve">STONECREST INCOME AND         </t>
  </si>
  <si>
    <t xml:space="preserve">2647 DULANY ST                     </t>
  </si>
  <si>
    <t xml:space="preserve">MORALES, HUGO EDWARD          </t>
  </si>
  <si>
    <t xml:space="preserve">2666 DULANY ST                     </t>
  </si>
  <si>
    <t xml:space="preserve">KING &amp; QUEEN, LLC             </t>
  </si>
  <si>
    <t xml:space="preserve">0654 DUMBARTON AVE                 </t>
  </si>
  <si>
    <t xml:space="preserve">HILL, WILLIAM R               </t>
  </si>
  <si>
    <t xml:space="preserve">1628 N DURHAM ST                   </t>
  </si>
  <si>
    <t xml:space="preserve">COLEY JR, LEWIS               </t>
  </si>
  <si>
    <t xml:space="preserve">1614 N DURHAM ST                   </t>
  </si>
  <si>
    <t xml:space="preserve">NELSON, NICOLE MICHELLE       </t>
  </si>
  <si>
    <t xml:space="preserve">1624 N DURHAM ST                   </t>
  </si>
  <si>
    <t xml:space="preserve">SAVAGE FENTON                 </t>
  </si>
  <si>
    <t xml:space="preserve">2210 EAGLE ST                      </t>
  </si>
  <si>
    <t xml:space="preserve">MZ HOLDINGS, LLC              </t>
  </si>
  <si>
    <t xml:space="preserve">2037 EAGLE ST                      </t>
  </si>
  <si>
    <t xml:space="preserve">LUNTZ ONE PROPERTIES, LLC     </t>
  </si>
  <si>
    <t xml:space="preserve">1840 EAGLE ST                      </t>
  </si>
  <si>
    <t xml:space="preserve">N &amp; M ASSOCIATES              </t>
  </si>
  <si>
    <t xml:space="preserve">2104 EAGLE ST                      </t>
  </si>
  <si>
    <t xml:space="preserve">BROWN, RALPH                  </t>
  </si>
  <si>
    <t xml:space="preserve">2023 EAGLE ST                      </t>
  </si>
  <si>
    <t xml:space="preserve">CANN, JAMES E                 </t>
  </si>
  <si>
    <t xml:space="preserve">0433 N EAST AVE                    </t>
  </si>
  <si>
    <t xml:space="preserve">ROUB, GREGORY L.              </t>
  </si>
  <si>
    <t xml:space="preserve">0514 EAST LYNNE AVE                </t>
  </si>
  <si>
    <t xml:space="preserve">OGUNSHINA, EMMANUEL G         </t>
  </si>
  <si>
    <t xml:space="preserve">1212 N EDEN ST                     </t>
  </si>
  <si>
    <t xml:space="preserve">WHITE, MARY V                 </t>
  </si>
  <si>
    <t xml:space="preserve">2909 EDGECOMBE CIRCLE NORTH        </t>
  </si>
  <si>
    <t xml:space="preserve">DOMINION PROPERTY MANAGEMENT, </t>
  </si>
  <si>
    <t xml:space="preserve">4934 EDGEMERE AVE                  </t>
  </si>
  <si>
    <t xml:space="preserve">NICHOLSON, MARY E             </t>
  </si>
  <si>
    <t xml:space="preserve">4967 EDGEMERE AVE                  </t>
  </si>
  <si>
    <t xml:space="preserve">PEDIFORD, DEREK               </t>
  </si>
  <si>
    <t xml:space="preserve">4921 EDGEMERE AVE                  </t>
  </si>
  <si>
    <t xml:space="preserve">MURRELL, CEPHUS M.            </t>
  </si>
  <si>
    <t xml:space="preserve">0504 N EDGEWOOD ST                 </t>
  </si>
  <si>
    <t xml:space="preserve">WRICE, DORTHY M               </t>
  </si>
  <si>
    <t xml:space="preserve">2706 EDMONDSON AVE                 </t>
  </si>
  <si>
    <t xml:space="preserve">SANDERS, ETHEL                </t>
  </si>
  <si>
    <t xml:space="preserve">3409 EDMONDSON AVE                 </t>
  </si>
  <si>
    <t xml:space="preserve">ROGERS, SARAH L               </t>
  </si>
  <si>
    <t xml:space="preserve">2570 EDMONDSON AVE                 </t>
  </si>
  <si>
    <t xml:space="preserve">MCCALL, MARIE                 </t>
  </si>
  <si>
    <t xml:space="preserve">2746 EDMONDSON AVE                 </t>
  </si>
  <si>
    <t xml:space="preserve">WASHINGTON, STEPHANIE         </t>
  </si>
  <si>
    <t xml:space="preserve">2529 EDMONDSON AVE                 </t>
  </si>
  <si>
    <t xml:space="preserve">JACKSON SR., KIRK             </t>
  </si>
  <si>
    <t xml:space="preserve">2567 EDMONDSON AVE                 </t>
  </si>
  <si>
    <t xml:space="preserve">BRAVO, EARL                   </t>
  </si>
  <si>
    <t xml:space="preserve">2579 EDMONDSON AVE                 </t>
  </si>
  <si>
    <t xml:space="preserve">ST. LEWIS, MICHAEL            </t>
  </si>
  <si>
    <t xml:space="preserve">3014 EDMONDSON AVE                 </t>
  </si>
  <si>
    <t xml:space="preserve">3016 EDMONDSON AVE                 </t>
  </si>
  <si>
    <t xml:space="preserve">3030 EDMONDSON AVE                 </t>
  </si>
  <si>
    <t xml:space="preserve">GADDY, MAE                    </t>
  </si>
  <si>
    <t xml:space="preserve">1824 EDMONDSON AVE                 </t>
  </si>
  <si>
    <t xml:space="preserve">POWELL, GERALDINE E           </t>
  </si>
  <si>
    <t xml:space="preserve">1926 EDMONDSON AVE                 </t>
  </si>
  <si>
    <t xml:space="preserve">CROSS, JOSEPH                 </t>
  </si>
  <si>
    <t xml:space="preserve">2031 EDMONDSON AVE                 </t>
  </si>
  <si>
    <t xml:space="preserve">LUCAS JR, OTHA                </t>
  </si>
  <si>
    <t xml:space="preserve">2035 EDMONDSON AVE                 </t>
  </si>
  <si>
    <t xml:space="preserve">GADDY, GROVER LEE             </t>
  </si>
  <si>
    <t xml:space="preserve">1826 EDMONDSON AVE                 </t>
  </si>
  <si>
    <t xml:space="preserve">POWELL, DENNIS                </t>
  </si>
  <si>
    <t xml:space="preserve">2008 EDMONDSON AVE                 </t>
  </si>
  <si>
    <t xml:space="preserve">MID-TOWN EDMONDSON AVENUE     </t>
  </si>
  <si>
    <t xml:space="preserve">2032-2034 EDMONDSON AVE            </t>
  </si>
  <si>
    <t xml:space="preserve">SHAHID ETAL, YUSEF            </t>
  </si>
  <si>
    <t xml:space="preserve">1818 EDMONDSON AVE                 </t>
  </si>
  <si>
    <t xml:space="preserve">SOLOMON, RICHARD    (LIFE)    </t>
  </si>
  <si>
    <t xml:space="preserve">2024-2026 EDMONDSON AVE            </t>
  </si>
  <si>
    <t xml:space="preserve">POINDEXTER, BARRY             </t>
  </si>
  <si>
    <t xml:space="preserve">2012 EDMONDSON AVE                 </t>
  </si>
  <si>
    <t xml:space="preserve">JONES, BAXTER                 </t>
  </si>
  <si>
    <t xml:space="preserve">2010 EDMONDSON AVE                 </t>
  </si>
  <si>
    <t xml:space="preserve">1955 EDMONDSON AVE                 </t>
  </si>
  <si>
    <t xml:space="preserve">GIBBS, STANLEY                </t>
  </si>
  <si>
    <t xml:space="preserve">2006 EDMONDSON AVE                 </t>
  </si>
  <si>
    <t xml:space="preserve">2004 EDMONDSON AVE                 </t>
  </si>
  <si>
    <t xml:space="preserve">2105 EDMONDSON AVE                 </t>
  </si>
  <si>
    <t xml:space="preserve">JACOBS, OSCAR                 </t>
  </si>
  <si>
    <t>IMU-1</t>
  </si>
  <si>
    <t xml:space="preserve">1925 EDMONDSON AVE                 </t>
  </si>
  <si>
    <t xml:space="preserve">FURNESS, COLIN W              </t>
  </si>
  <si>
    <t xml:space="preserve">1832 EDMONDSON AVE                 </t>
  </si>
  <si>
    <t xml:space="preserve">ISLER, CLARENCE               </t>
  </si>
  <si>
    <t xml:space="preserve">1904 EDMONDSON AVE                 </t>
  </si>
  <si>
    <t xml:space="preserve">SQUARE O CORPORATION          </t>
  </si>
  <si>
    <t xml:space="preserve">3938 EDNOR ROAD                    </t>
  </si>
  <si>
    <t>EQUITY TRUST COMPANY CUSTODIAN</t>
  </si>
  <si>
    <t xml:space="preserve">1533 N ELLAMONT ST                 </t>
  </si>
  <si>
    <t xml:space="preserve">GRAY, BONNIE A                </t>
  </si>
  <si>
    <t xml:space="preserve">1735 N ELLAMONT ST                 </t>
  </si>
  <si>
    <t xml:space="preserve">GAYLE, MAXINE                 </t>
  </si>
  <si>
    <t xml:space="preserve">0975 ELLICOTT DR                   </t>
  </si>
  <si>
    <t xml:space="preserve">SMITH, ARTHUR                 </t>
  </si>
  <si>
    <t xml:space="preserve">2818 ELLICOTT DR                   </t>
  </si>
  <si>
    <t xml:space="preserve">SIMMONS, WILLIE RUTH          </t>
  </si>
  <si>
    <t xml:space="preserve">0935 ELLICOTT DRIVEWAY             </t>
  </si>
  <si>
    <t xml:space="preserve">MAGAL, ARNON                  </t>
  </si>
  <si>
    <t xml:space="preserve">1028 ELLICOTT DRIVEWAY             </t>
  </si>
  <si>
    <t xml:space="preserve">SIP TAYLOR &amp; WF               </t>
  </si>
  <si>
    <t xml:space="preserve">1241 N ELLWOOD AVE                 </t>
  </si>
  <si>
    <t xml:space="preserve">PRIDGEN JR., DAVID B.         </t>
  </si>
  <si>
    <t xml:space="preserve">5003 ELMER AVE                     </t>
  </si>
  <si>
    <t xml:space="preserve">HOGAR COMMUNITY REINVESTMENT, </t>
  </si>
  <si>
    <t xml:space="preserve">3208 ELMLEY AVE                    </t>
  </si>
  <si>
    <t xml:space="preserve">POOLE, GERALD                 </t>
  </si>
  <si>
    <t xml:space="preserve">1413 ELMTREE ST                    </t>
  </si>
  <si>
    <t xml:space="preserve">KUPIN, ANTHONY                </t>
  </si>
  <si>
    <t xml:space="preserve">1510 ELMTREE ST                    </t>
  </si>
  <si>
    <t xml:space="preserve">BAYSHORE REALTORS, LLC        </t>
  </si>
  <si>
    <t xml:space="preserve">1526 ELMTREE ST                    </t>
  </si>
  <si>
    <t xml:space="preserve">CHARLES F DORSEY &amp; WF         </t>
  </si>
  <si>
    <t xml:space="preserve">2201 ELSINORE AVE                  </t>
  </si>
  <si>
    <t xml:space="preserve">TAYLOR, GEORGE A              </t>
  </si>
  <si>
    <t xml:space="preserve">2200 ELSINORE AVE                  </t>
  </si>
  <si>
    <t xml:space="preserve">GRAHAM ETAL, SALVAN           </t>
  </si>
  <si>
    <t xml:space="preserve">3311 ENGLISH CONSUL AVE            </t>
  </si>
  <si>
    <t xml:space="preserve">COOPER, JACKIE L              </t>
  </si>
  <si>
    <t xml:space="preserve">I-2  </t>
  </si>
  <si>
    <t xml:space="preserve"> **ES BRUCE ST 110 FT N OF LAURENS </t>
  </si>
  <si>
    <t>CHARLES JOHNSON PARK DEVELOPME</t>
  </si>
  <si>
    <t xml:space="preserve"> **ES CTR 20 FT PVT DR 158 FT W OF </t>
  </si>
  <si>
    <t xml:space="preserve">MYRICK, RUTH A                </t>
  </si>
  <si>
    <t xml:space="preserve"> **ES ENGLISH CONSUL AVE 549 FT N O</t>
  </si>
  <si>
    <t xml:space="preserve"> **ES KENILWORTH AV 507-2 FT N OF E</t>
  </si>
  <si>
    <t xml:space="preserve">HOWIL DEVELOPMENT CORP        </t>
  </si>
  <si>
    <t xml:space="preserve"> **ES N EDEN ST NEC TENPIN ALLEY   </t>
  </si>
  <si>
    <t xml:space="preserve">WASHINGTON HILL DEVELOPMENT   </t>
  </si>
  <si>
    <t xml:space="preserve"> **ES N FOREST PARK AVE 372'6 NE CA</t>
  </si>
  <si>
    <t xml:space="preserve">VICTOR, ARE DAVE              </t>
  </si>
  <si>
    <t xml:space="preserve"> **ES PUGET ST SEC HARMAN AV       </t>
  </si>
  <si>
    <t xml:space="preserve">BARNES JR, WILLIAM            </t>
  </si>
  <si>
    <t xml:space="preserve"> **ES S CULVER ST 360 FT S OF ST. J</t>
  </si>
  <si>
    <t xml:space="preserve">BLUE, LAMAR                   </t>
  </si>
  <si>
    <t xml:space="preserve"> **ES S WASHINGTON ST 44'8 N ALICEA</t>
  </si>
  <si>
    <t xml:space="preserve">HOMEOWNERS ASSOCIATES OF      </t>
  </si>
  <si>
    <t xml:space="preserve"> **ES 10 FT ALLEY 1ST E OF HILTON S</t>
  </si>
  <si>
    <t xml:space="preserve">MULLEN, CHARLES               </t>
  </si>
  <si>
    <t xml:space="preserve"> **ES 12 FT ALLEY 1ST E OF READY AV</t>
  </si>
  <si>
    <t xml:space="preserve">BRYANT SR., JOSEPH            </t>
  </si>
  <si>
    <t xml:space="preserve">BRYANT SR., JOESEPH           </t>
  </si>
  <si>
    <t xml:space="preserve"> **ES 15 FT ALLEY 1ST E OF TOLNA ST</t>
  </si>
  <si>
    <t xml:space="preserve">FINCH, ALEXANDRIA O (LIFE)    </t>
  </si>
  <si>
    <t xml:space="preserve"> **ES 20 FT ALLEY 1ST E OF N SMALLW</t>
  </si>
  <si>
    <t xml:space="preserve">JOYNER, EDDIE                 </t>
  </si>
  <si>
    <t xml:space="preserve"> **ES 20 FT ALLEY 1ST W OF GWYNN OA</t>
  </si>
  <si>
    <t xml:space="preserve">BROWN, ROLAND                 </t>
  </si>
  <si>
    <t xml:space="preserve"> **ES 22 FT ALLEY 1ST E OF WELBOURN</t>
  </si>
  <si>
    <t xml:space="preserve">FAISON, JAMES                 </t>
  </si>
  <si>
    <t xml:space="preserve">3614 ESTHER PL                     </t>
  </si>
  <si>
    <t xml:space="preserve">MUSE, WILLIAM                 </t>
  </si>
  <si>
    <t xml:space="preserve">3625 FAIRHAVEN AVE                 </t>
  </si>
  <si>
    <t xml:space="preserve">JEROME G HUZELEVICH &amp;WF       </t>
  </si>
  <si>
    <t xml:space="preserve">2541 W FAIRMOUNT AVE               </t>
  </si>
  <si>
    <t xml:space="preserve">LONG, VICTORIA                </t>
  </si>
  <si>
    <t xml:space="preserve">2524 W FAIRMOUNT AVE               </t>
  </si>
  <si>
    <t xml:space="preserve">PHIPPS, KELLY                 </t>
  </si>
  <si>
    <t xml:space="preserve">2563 W FAIRMOUNT AVE               </t>
  </si>
  <si>
    <t xml:space="preserve">JONES, DANTE C.               </t>
  </si>
  <si>
    <t xml:space="preserve">2751 W FAIRMOUNT AVE               </t>
  </si>
  <si>
    <t xml:space="preserve">WHEELER, JOSEPH               </t>
  </si>
  <si>
    <t xml:space="preserve">2128 W FAIRMOUNT AVE               </t>
  </si>
  <si>
    <t xml:space="preserve">AMANG, BOLIONG                </t>
  </si>
  <si>
    <t xml:space="preserve">1936 W FAIRMOUNT AVE               </t>
  </si>
  <si>
    <t xml:space="preserve">WATSON ETAL, MABEL S          </t>
  </si>
  <si>
    <t xml:space="preserve">3604 FAIRVIEW AVE                  </t>
  </si>
  <si>
    <t xml:space="preserve">HICKS, JOHNNE M               </t>
  </si>
  <si>
    <t xml:space="preserve">3305 FAIRVIEW AVE                  </t>
  </si>
  <si>
    <t xml:space="preserve">HAROLD L DOBSON 2ND &amp;WF       </t>
  </si>
  <si>
    <t xml:space="preserve">3621 FAIRVIEW AVE                  </t>
  </si>
  <si>
    <t xml:space="preserve">RAY E MCCLELLAN               </t>
  </si>
  <si>
    <t xml:space="preserve">3618 FAIRVIEW AVE                  </t>
  </si>
  <si>
    <t xml:space="preserve">CATHERINE HARRINGTON          </t>
  </si>
  <si>
    <t xml:space="preserve">4151 FAIRVIEW AVE                  </t>
  </si>
  <si>
    <t xml:space="preserve">LEGRAND, ETHEL                </t>
  </si>
  <si>
    <t xml:space="preserve">2326 W FAYETTE ST                  </t>
  </si>
  <si>
    <t xml:space="preserve">CHAWDA, BALDEVSHINN LAKHAJI   </t>
  </si>
  <si>
    <t xml:space="preserve">2564 W FAYETTE ST                  </t>
  </si>
  <si>
    <t xml:space="preserve">ODELL ROY INC                 </t>
  </si>
  <si>
    <t xml:space="preserve">1817 W FAYETTE ST                  </t>
  </si>
  <si>
    <t xml:space="preserve">PILLAR OF TRUTH               </t>
  </si>
  <si>
    <t xml:space="preserve">2108 W FAYETTE ST                  </t>
  </si>
  <si>
    <t xml:space="preserve">WB5 PROPERTIES                </t>
  </si>
  <si>
    <t xml:space="preserve">3803 FEAR AVE                      </t>
  </si>
  <si>
    <t xml:space="preserve">BAZEMORE, JOHN                </t>
  </si>
  <si>
    <t xml:space="preserve">2503 E FEDERAL ST                  </t>
  </si>
  <si>
    <t xml:space="preserve">BUNCH, HATTIE                 </t>
  </si>
  <si>
    <t xml:space="preserve">1518 E FEDERAL ST                  </t>
  </si>
  <si>
    <t xml:space="preserve">DEL VECCHIO, JOHN R           </t>
  </si>
  <si>
    <t xml:space="preserve">1503 E FEDERAL ST                  </t>
  </si>
  <si>
    <t xml:space="preserve">KING, MICHAEL                 </t>
  </si>
  <si>
    <t xml:space="preserve">1614 E FEDERAL ST                  </t>
  </si>
  <si>
    <t xml:space="preserve">SABAH, DAVID                  </t>
  </si>
  <si>
    <t xml:space="preserve">2537 FLORA ST                      </t>
  </si>
  <si>
    <t xml:space="preserve">MARGARET L BRYAN              </t>
  </si>
  <si>
    <t xml:space="preserve">5209 FLORENCE AVE                  </t>
  </si>
  <si>
    <t xml:space="preserve">TAYLOR, KIRK                  </t>
  </si>
  <si>
    <t xml:space="preserve">0357 FONTHILL AVE                  </t>
  </si>
  <si>
    <t xml:space="preserve">JOHNSON, JERRY                </t>
  </si>
  <si>
    <t xml:space="preserve">3504 W FOREST PARK AVE             </t>
  </si>
  <si>
    <t xml:space="preserve">LESTER D PARKER &amp; WF          </t>
  </si>
  <si>
    <t xml:space="preserve">4021 W FRANKLIN ST                 </t>
  </si>
  <si>
    <t xml:space="preserve">AJCG REAL ESTATE LLC          </t>
  </si>
  <si>
    <t xml:space="preserve">1942 W FRANKLIN ST                 </t>
  </si>
  <si>
    <t xml:space="preserve">PRIESTER, ANTHONY             </t>
  </si>
  <si>
    <t xml:space="preserve">1916 W FRANKLIN ST                 </t>
  </si>
  <si>
    <t xml:space="preserve">WASHINGTON, LILLIE            </t>
  </si>
  <si>
    <t xml:space="preserve">1210 W FRANKLIN ST                 </t>
  </si>
  <si>
    <t>FRANKLIN STREET ROWHOUSES, LLC</t>
  </si>
  <si>
    <t>TOD-1</t>
  </si>
  <si>
    <t xml:space="preserve">1104 W FRANKLIN ST                 </t>
  </si>
  <si>
    <t xml:space="preserve">Z.A.D., INC.                  </t>
  </si>
  <si>
    <t xml:space="preserve">1120 W FRANKLIN ST                 </t>
  </si>
  <si>
    <t xml:space="preserve">LUCAS, ALICE                  </t>
  </si>
  <si>
    <t xml:space="preserve">1422 W FRANKLIN ST                 </t>
  </si>
  <si>
    <t xml:space="preserve">CAISON, SHAWN                 </t>
  </si>
  <si>
    <t xml:space="preserve">1834 W FRANKLIN ST                 </t>
  </si>
  <si>
    <t xml:space="preserve">JMD, LLC                      </t>
  </si>
  <si>
    <t xml:space="preserve">1042 W FRANKLIN ST                 </t>
  </si>
  <si>
    <t xml:space="preserve">REAL ESTATE MANAGEMENT AND    </t>
  </si>
  <si>
    <t xml:space="preserve">1016 W FRANKLIN ST                 </t>
  </si>
  <si>
    <t xml:space="preserve">TAYLOR, DAISY                 </t>
  </si>
  <si>
    <t xml:space="preserve">1918 W FRANKLIN ST                 </t>
  </si>
  <si>
    <t xml:space="preserve">BOXDALE, JOSEPH               </t>
  </si>
  <si>
    <t xml:space="preserve">1602 W FRANKLIN ST                 </t>
  </si>
  <si>
    <t xml:space="preserve">KULLICK, MARGARITA            </t>
  </si>
  <si>
    <t xml:space="preserve">1708 W FRANKLIN ST                 </t>
  </si>
  <si>
    <t xml:space="preserve">SWIECZKOWSKI, JOHN            </t>
  </si>
  <si>
    <t xml:space="preserve">1808 W FRANKLIN ST                 </t>
  </si>
  <si>
    <t xml:space="preserve">BOOTH, WALTER                 </t>
  </si>
  <si>
    <t xml:space="preserve">1722 W FRANKLIN ST                 </t>
  </si>
  <si>
    <t>FREEDOM ENTERPRISES HOUSING, L</t>
  </si>
  <si>
    <t xml:space="preserve">0615 N FRANKLINTOWN ROAD           </t>
  </si>
  <si>
    <t xml:space="preserve">WATKINS, CRAIG L              </t>
  </si>
  <si>
    <t xml:space="preserve">0623 N FRANKLINTOWN ROAD           </t>
  </si>
  <si>
    <t xml:space="preserve">LITTLE, CALVIN                </t>
  </si>
  <si>
    <t xml:space="preserve">0607 N FRANKLINTOWN ROAD           </t>
  </si>
  <si>
    <t xml:space="preserve">0601 N FRANKLINTOWN ROAD           </t>
  </si>
  <si>
    <t xml:space="preserve">SINGH, GURMEET                </t>
  </si>
  <si>
    <t xml:space="preserve">0123 S FRANKLINTOWN ROAD           </t>
  </si>
  <si>
    <t xml:space="preserve">GOWDY, DEBORAH                </t>
  </si>
  <si>
    <t xml:space="preserve">0107 S FRANKLINTOWN ROAD           </t>
  </si>
  <si>
    <t xml:space="preserve">ABEBE HOLDINGS, LLC           </t>
  </si>
  <si>
    <t xml:space="preserve">0119 S FRANKLINTOWN ROAD           </t>
  </si>
  <si>
    <t xml:space="preserve">ABEBE HOLDINGS LLC            </t>
  </si>
  <si>
    <t xml:space="preserve">2801 FREDERICK AVE                 </t>
  </si>
  <si>
    <t xml:space="preserve">FEFEL, STACY B.               </t>
  </si>
  <si>
    <t xml:space="preserve">2615 FREDERICK AVE                 </t>
  </si>
  <si>
    <t xml:space="preserve">EVANS, HAROLD                 </t>
  </si>
  <si>
    <t xml:space="preserve">2828 FREDERICK AVE                 </t>
  </si>
  <si>
    <t xml:space="preserve">DIALLO, AMADOU                </t>
  </si>
  <si>
    <t xml:space="preserve">2240 FREDERICK AVE                 </t>
  </si>
  <si>
    <t xml:space="preserve">LANGLOIS, JOHN M              </t>
  </si>
  <si>
    <t xml:space="preserve">2110 FREDERICK AVE                 </t>
  </si>
  <si>
    <t xml:space="preserve">ALAFIA HOLDINGS INC           </t>
  </si>
  <si>
    <t xml:space="preserve">0410 FREEMAN ST                    </t>
  </si>
  <si>
    <t xml:space="preserve">2409 BIDDLE STREET LLC        </t>
  </si>
  <si>
    <t xml:space="preserve">0724 N FREMONT AVE                 </t>
  </si>
  <si>
    <t xml:space="preserve">MCCARTHY, CLETON D            </t>
  </si>
  <si>
    <t xml:space="preserve">0727 N FREMONT AVE                 </t>
  </si>
  <si>
    <t xml:space="preserve">SIMMONS, ANI                  </t>
  </si>
  <si>
    <t xml:space="preserve">0707 N FREMONT AVE                 </t>
  </si>
  <si>
    <t xml:space="preserve">EDWARD A EVANGELIDI &amp;WF       </t>
  </si>
  <si>
    <t xml:space="preserve">0812 N FREMONT AVE                 </t>
  </si>
  <si>
    <t>ST JAMES DEVELOPMENT CORPORATI</t>
  </si>
  <si>
    <t xml:space="preserve">0810 N FREMONT AVE                 </t>
  </si>
  <si>
    <t xml:space="preserve">0814 N FREMONT AVE                 </t>
  </si>
  <si>
    <t xml:space="preserve">0805 N FULTON AVE                  </t>
  </si>
  <si>
    <t xml:space="preserve">A STEP FORWARD, INCORPORATED  </t>
  </si>
  <si>
    <t xml:space="preserve">0830 N FULTON AVE                  </t>
  </si>
  <si>
    <t xml:space="preserve">SANCTUARY CHURCH, INC.        </t>
  </si>
  <si>
    <t xml:space="preserve">0832 N FULTON AVE                  </t>
  </si>
  <si>
    <t xml:space="preserve">0628 S FULTON AVE                  </t>
  </si>
  <si>
    <t xml:space="preserve">EVANGELIDI, EDWARD A          </t>
  </si>
  <si>
    <t xml:space="preserve">0402 S FULTON AVE                  </t>
  </si>
  <si>
    <t xml:space="preserve">TADROS, JOHN I                </t>
  </si>
  <si>
    <t xml:space="preserve">0522 N FULTON AVE                  </t>
  </si>
  <si>
    <t xml:space="preserve">ASHE, NORRIS M                </t>
  </si>
  <si>
    <t xml:space="preserve">0527 N FULTON AVE                  </t>
  </si>
  <si>
    <t xml:space="preserve">CARTER JR ETAL,JOSEPH A       </t>
  </si>
  <si>
    <t xml:space="preserve">0330 N FULTON AVE                  </t>
  </si>
  <si>
    <t xml:space="preserve">FRIERSON, CLARA               </t>
  </si>
  <si>
    <t xml:space="preserve">0537 N FULTON AVE                  </t>
  </si>
  <si>
    <t xml:space="preserve">KANE, VERONICA H              </t>
  </si>
  <si>
    <t xml:space="preserve">0629 N FULTON AVE                  </t>
  </si>
  <si>
    <t xml:space="preserve">NGUYEN, AARON                 </t>
  </si>
  <si>
    <t xml:space="preserve">0643 N FULTON AVE                  </t>
  </si>
  <si>
    <t xml:space="preserve">COPLIN, ANNA M                </t>
  </si>
  <si>
    <t xml:space="preserve">0331 N FULTON AVE                  </t>
  </si>
  <si>
    <t xml:space="preserve">HENRY, PRISCILLA              </t>
  </si>
  <si>
    <t xml:space="preserve">0329 N FULTON AVE                  </t>
  </si>
  <si>
    <t xml:space="preserve">PETERSON, H. JERRY            </t>
  </si>
  <si>
    <t xml:space="preserve">0117 N FULTON AVE                  </t>
  </si>
  <si>
    <t xml:space="preserve">HOBSON, MYRTLE                </t>
  </si>
  <si>
    <t xml:space="preserve">0223 N FULTON AVE                  </t>
  </si>
  <si>
    <t xml:space="preserve">JONES, GEORGE W               </t>
  </si>
  <si>
    <t xml:space="preserve">0225 N FULTON AVE                  </t>
  </si>
  <si>
    <t xml:space="preserve">BRADFORD, VIVIAN R            </t>
  </si>
  <si>
    <t xml:space="preserve">0119 N FULTON AVE                  </t>
  </si>
  <si>
    <t xml:space="preserve">NEW, BONNIE                   </t>
  </si>
  <si>
    <t xml:space="preserve">0235 N FULTON AVE                  </t>
  </si>
  <si>
    <t xml:space="preserve">HARRIS, MATTIE L              </t>
  </si>
  <si>
    <t xml:space="preserve">0252 N FULTON AVE                  </t>
  </si>
  <si>
    <t xml:space="preserve">PARKER, JOHN H                </t>
  </si>
  <si>
    <t xml:space="preserve">0204 S FULTON AVE                  </t>
  </si>
  <si>
    <t xml:space="preserve">KAKAR, SUBASH                 </t>
  </si>
  <si>
    <t xml:space="preserve">1701 N FULTON AVE                  </t>
  </si>
  <si>
    <t xml:space="preserve">PERSAUD, VISHAL               </t>
  </si>
  <si>
    <t xml:space="preserve">1420 N FULTON AVE                  </t>
  </si>
  <si>
    <t xml:space="preserve">CARTER, ARNOLD                </t>
  </si>
  <si>
    <t xml:space="preserve">0316 FURROW ST                     </t>
  </si>
  <si>
    <t xml:space="preserve">STAGNER PROPERTIES, LLC       </t>
  </si>
  <si>
    <t xml:space="preserve">0314 FURROW ST                     </t>
  </si>
  <si>
    <t xml:space="preserve">STAGNER PROPERTIES LLC        </t>
  </si>
  <si>
    <t xml:space="preserve">0206 FURROW ST                     </t>
  </si>
  <si>
    <t xml:space="preserve">KEATON JR., BOYD              </t>
  </si>
  <si>
    <t xml:space="preserve">0441 FURROW ST                     </t>
  </si>
  <si>
    <t xml:space="preserve">0424 FURROW ST                     </t>
  </si>
  <si>
    <t xml:space="preserve">AVENTURA CONSTRUCTION LLC     </t>
  </si>
  <si>
    <t xml:space="preserve">0438 FURROW ST                     </t>
  </si>
  <si>
    <t xml:space="preserve">HOOKER, BRANDI E              </t>
  </si>
  <si>
    <t xml:space="preserve">3614 W GARRISON AVE                </t>
  </si>
  <si>
    <t xml:space="preserve">MILLER, PAMELA R.             </t>
  </si>
  <si>
    <t xml:space="preserve">3115 W GARRISON AVE                </t>
  </si>
  <si>
    <t xml:space="preserve">CONSAD, RITA                  </t>
  </si>
  <si>
    <t xml:space="preserve">3910 GARRISON BLVD                 </t>
  </si>
  <si>
    <t xml:space="preserve">SWANN, CATHERINE W            </t>
  </si>
  <si>
    <t xml:space="preserve">2303 GARRISON BLVD                 </t>
  </si>
  <si>
    <t xml:space="preserve">SYLVIA ELY-JACOBS             </t>
  </si>
  <si>
    <t xml:space="preserve">R-3* </t>
  </si>
  <si>
    <t xml:space="preserve">3820 GARRISON BLVD                 </t>
  </si>
  <si>
    <t xml:space="preserve">MORGAN, DELORES               </t>
  </si>
  <si>
    <t xml:space="preserve">1644 N GILMOR ST                   </t>
  </si>
  <si>
    <t xml:space="preserve">TAYLOR, LAWRENCE              </t>
  </si>
  <si>
    <t xml:space="preserve">1101 N GILMOR ST                   </t>
  </si>
  <si>
    <t xml:space="preserve">A &amp; F SERVICES LLC            </t>
  </si>
  <si>
    <t xml:space="preserve">1142 N GILMOR ST                   </t>
  </si>
  <si>
    <t xml:space="preserve">EMERY, ED                     </t>
  </si>
  <si>
    <t xml:space="preserve">0616 GLENOLDEN AVE                 </t>
  </si>
  <si>
    <t xml:space="preserve">GRANT, GLORIA M               </t>
  </si>
  <si>
    <t xml:space="preserve">0609 N GLOVER ST                   </t>
  </si>
  <si>
    <t xml:space="preserve">AO INVESTMENTS, LLC           </t>
  </si>
  <si>
    <t xml:space="preserve">0039 GORMAN AVE                    </t>
  </si>
  <si>
    <t xml:space="preserve">GILLESPIE, ISRAEL             </t>
  </si>
  <si>
    <t xml:space="preserve">1646 GORSUCH AVE                   </t>
  </si>
  <si>
    <t xml:space="preserve">GGEL ENTERPRISES,INC.         </t>
  </si>
  <si>
    <t xml:space="preserve">2906 GRANTLEY AVE                  </t>
  </si>
  <si>
    <t xml:space="preserve">ELLIOT, HEIDI LAMAR           </t>
  </si>
  <si>
    <t xml:space="preserve">2430 GREENMOUNT AVE                </t>
  </si>
  <si>
    <t xml:space="preserve">SABATINO ETAL, THOMAS L       </t>
  </si>
  <si>
    <t xml:space="preserve">2522 GREENMOUNT AVE                </t>
  </si>
  <si>
    <t xml:space="preserve">BOLING 3RD, ERNEST M          </t>
  </si>
  <si>
    <t xml:space="preserve">2616 GREENMOUNT AVE                </t>
  </si>
  <si>
    <t xml:space="preserve">MORTON, MILLER E              </t>
  </si>
  <si>
    <t xml:space="preserve">2612 GREENMOUNT AVE                </t>
  </si>
  <si>
    <t xml:space="preserve">WASHINGTON, DORIS             </t>
  </si>
  <si>
    <t xml:space="preserve">2101 GREENMOUNT AVE                </t>
  </si>
  <si>
    <t xml:space="preserve">PORT HOMES,LLC                </t>
  </si>
  <si>
    <t xml:space="preserve">2225 GUILFORD AVE                  </t>
  </si>
  <si>
    <t xml:space="preserve">LEE, RANDOLPH WM (LIFE)       </t>
  </si>
  <si>
    <t xml:space="preserve">0650 GUTMAN AVE                    </t>
  </si>
  <si>
    <t xml:space="preserve">CHOPRA, JAY                   </t>
  </si>
  <si>
    <t xml:space="preserve">0652 GUTMAN AVE                    </t>
  </si>
  <si>
    <t xml:space="preserve">OPEN HANDS, LLC               </t>
  </si>
  <si>
    <t xml:space="preserve">0348 GWYNN AVE                     </t>
  </si>
  <si>
    <t xml:space="preserve">DOBYNS, KARL A                </t>
  </si>
  <si>
    <t xml:space="preserve">2653 HAFER ST                      </t>
  </si>
  <si>
    <t xml:space="preserve">CARPENTER, JONATHAN           </t>
  </si>
  <si>
    <t xml:space="preserve">OR-1 </t>
  </si>
  <si>
    <t xml:space="preserve">3652 S HANOVER ST                  </t>
  </si>
  <si>
    <t xml:space="preserve">MICKLOS, JAMES                </t>
  </si>
  <si>
    <t xml:space="preserve">2124 HARFORD ROAD                  </t>
  </si>
  <si>
    <t xml:space="preserve">WARRINGTON, ADRIAN            </t>
  </si>
  <si>
    <t xml:space="preserve">2139 HARFORD ROAD                  </t>
  </si>
  <si>
    <t xml:space="preserve">HIPKINS, OCTAVIA              </t>
  </si>
  <si>
    <t xml:space="preserve">2752 HARLEM AVE                    </t>
  </si>
  <si>
    <t xml:space="preserve">2424 HARLEM AVE                    </t>
  </si>
  <si>
    <t xml:space="preserve">VARIEGATE GROUP, LLC          </t>
  </si>
  <si>
    <t xml:space="preserve">3037 HARLEM AVE                    </t>
  </si>
  <si>
    <t xml:space="preserve">ETHEL J RUSSELL               </t>
  </si>
  <si>
    <t xml:space="preserve">3024 HARLEM AVE                    </t>
  </si>
  <si>
    <t xml:space="preserve">ROBINSON, MARGARET E          </t>
  </si>
  <si>
    <t xml:space="preserve">3034 HARLEM AVE                    </t>
  </si>
  <si>
    <t xml:space="preserve">ELLIS III, CHARLES G.         </t>
  </si>
  <si>
    <t xml:space="preserve">1603 HARLEM AVE                    </t>
  </si>
  <si>
    <t xml:space="preserve">BURRELL JR., ROBERT A         </t>
  </si>
  <si>
    <t xml:space="preserve">1917 HARLEM AVE                    </t>
  </si>
  <si>
    <t xml:space="preserve">1838 HARLEM AVE                    </t>
  </si>
  <si>
    <t xml:space="preserve">CALDWELL, FRANK W             </t>
  </si>
  <si>
    <t xml:space="preserve">1705 HARLEM AVE                    </t>
  </si>
  <si>
    <t xml:space="preserve">DAVENPORT, ANTONIO            </t>
  </si>
  <si>
    <t xml:space="preserve">0916 HARLEM AVE                    </t>
  </si>
  <si>
    <t xml:space="preserve">1724 HARLEM AVE                    </t>
  </si>
  <si>
    <t xml:space="preserve">1203 HARLEM AVE                    </t>
  </si>
  <si>
    <t xml:space="preserve">WOODFORD, MAMIE C             </t>
  </si>
  <si>
    <t xml:space="preserve">1701 HARLEM AVE                    </t>
  </si>
  <si>
    <t xml:space="preserve">QUARLES, JOYCE SPENCER        </t>
  </si>
  <si>
    <t xml:space="preserve">2035 HARLEM AVE                    </t>
  </si>
  <si>
    <t xml:space="preserve">BRIDGES, ANDREW               </t>
  </si>
  <si>
    <t xml:space="preserve">2045 HARLEM AVE                    </t>
  </si>
  <si>
    <t xml:space="preserve">STEVENSON, THADDEUS E         </t>
  </si>
  <si>
    <t xml:space="preserve">1715 HARLEM AVE                    </t>
  </si>
  <si>
    <t xml:space="preserve">2005 HARLEM AVE                    </t>
  </si>
  <si>
    <t xml:space="preserve">INTERNATIONAL LOAN            </t>
  </si>
  <si>
    <t xml:space="preserve">2029 HARLEM AVE                    </t>
  </si>
  <si>
    <t xml:space="preserve">FRANKLIN INVESTMENT CO        </t>
  </si>
  <si>
    <t xml:space="preserve">2033 HARLEM AVE                    </t>
  </si>
  <si>
    <t xml:space="preserve">HUMPHRIES, WILLIAM            </t>
  </si>
  <si>
    <t xml:space="preserve">1607 HARLEM AVE                    </t>
  </si>
  <si>
    <t xml:space="preserve">PEOPLE'S HOMESTEADING         </t>
  </si>
  <si>
    <t xml:space="preserve">2036 HARLEM AVE                    </t>
  </si>
  <si>
    <t xml:space="preserve">HOLLIS, TROY L                </t>
  </si>
  <si>
    <t xml:space="preserve">2042 HARLEM AVE                    </t>
  </si>
  <si>
    <t xml:space="preserve">1930 HARLEM AVE                    </t>
  </si>
  <si>
    <t xml:space="preserve">MILLER, CARL H                </t>
  </si>
  <si>
    <t xml:space="preserve">0210 HARMISON ST                   </t>
  </si>
  <si>
    <t xml:space="preserve">WILKENS FOUR, INC.            </t>
  </si>
  <si>
    <t xml:space="preserve">6624 HARTWAIT ST                   </t>
  </si>
  <si>
    <t xml:space="preserve">LACY, CLIFTON L               </t>
  </si>
  <si>
    <t xml:space="preserve">3812 HAYWARD AVE                   </t>
  </si>
  <si>
    <t xml:space="preserve">SORILLO, THEOPHILUS           </t>
  </si>
  <si>
    <t xml:space="preserve">1517 HAZEL ST                      </t>
  </si>
  <si>
    <t xml:space="preserve">LAMBERT, JERRY L.             </t>
  </si>
  <si>
    <t xml:space="preserve">1933 HERBERT ST                    </t>
  </si>
  <si>
    <t xml:space="preserve">1921 HERBERT ST                    </t>
  </si>
  <si>
    <t>KENZIE'S PLUMBING AND CONTRACT</t>
  </si>
  <si>
    <t xml:space="preserve">2315 HERKIMER ST                   </t>
  </si>
  <si>
    <t xml:space="preserve">DUNNIGAN, DEBORAH K.          </t>
  </si>
  <si>
    <t xml:space="preserve"> **HILL ST CIRCLE S END OF WINDER S</t>
  </si>
  <si>
    <t xml:space="preserve">FRANKLINTOWN PROPERTIES LLC   </t>
  </si>
  <si>
    <t xml:space="preserve">2902 HILLDALE AVE                  </t>
  </si>
  <si>
    <t xml:space="preserve">DOROTHY JOSEY                 </t>
  </si>
  <si>
    <t xml:space="preserve">2827 HILLDALE AVE                  </t>
  </si>
  <si>
    <t xml:space="preserve">BENSON, SAMMY                 </t>
  </si>
  <si>
    <t xml:space="preserve">0013 S HILTON ST                   </t>
  </si>
  <si>
    <t xml:space="preserve">STOVER, SHIRLEY A             </t>
  </si>
  <si>
    <t xml:space="preserve">0208 N HILTON ST                   </t>
  </si>
  <si>
    <t xml:space="preserve">LEE ETAL, MICHAEL E           </t>
  </si>
  <si>
    <t xml:space="preserve">0118 S HILTON ST                   </t>
  </si>
  <si>
    <t xml:space="preserve">1532 HOLBROOK ST                   </t>
  </si>
  <si>
    <t xml:space="preserve">ROBINSON, OCTAVIOUS           </t>
  </si>
  <si>
    <t xml:space="preserve">1934 HOLLINS ST                    </t>
  </si>
  <si>
    <t xml:space="preserve">FRANK, DAN                    </t>
  </si>
  <si>
    <t xml:space="preserve">2162 HOLLINS ST                    </t>
  </si>
  <si>
    <t xml:space="preserve">SCOTT, JOHN E.                </t>
  </si>
  <si>
    <t xml:space="preserve">1901 HOLLINS ST                    </t>
  </si>
  <si>
    <t xml:space="preserve">WILLIAMS, ROSE                </t>
  </si>
  <si>
    <t xml:space="preserve">2164 HOLLINS ST                    </t>
  </si>
  <si>
    <t xml:space="preserve">SDJ FOUNDATION, INC.          </t>
  </si>
  <si>
    <t xml:space="preserve">1917 HOLLINS ST                    </t>
  </si>
  <si>
    <t xml:space="preserve">1919 HOLLINS ST                    </t>
  </si>
  <si>
    <t xml:space="preserve">2201 HOLLINS FERRY ROAD            </t>
  </si>
  <si>
    <t xml:space="preserve">2201 HOLLINS FERRY ROAD, INC. </t>
  </si>
  <si>
    <t xml:space="preserve">I-1  </t>
  </si>
  <si>
    <t xml:space="preserve">2109 HOLLINS FERRY ROAD            </t>
  </si>
  <si>
    <t xml:space="preserve">WALL, CHARLES ROBERT          </t>
  </si>
  <si>
    <t xml:space="preserve">2125 HOLLINS FERRY ROAD            </t>
  </si>
  <si>
    <t xml:space="preserve">COSTANZA, MARILYN L           </t>
  </si>
  <si>
    <t xml:space="preserve">1712 HOMESTEAD ST                  </t>
  </si>
  <si>
    <t xml:space="preserve">PHILLIPS, SHAUN               </t>
  </si>
  <si>
    <t xml:space="preserve">0927 HOMESTEAD ST                  </t>
  </si>
  <si>
    <t xml:space="preserve">PORT HOMES, LLC               </t>
  </si>
  <si>
    <t xml:space="preserve">0700 HOMESTEAD ST                  </t>
  </si>
  <si>
    <t xml:space="preserve">SKYWALK PROPERTIES, LLC       </t>
  </si>
  <si>
    <t xml:space="preserve">1447 HOMESTEAD ST                  </t>
  </si>
  <si>
    <t xml:space="preserve">RENT MAN LIMITED              </t>
  </si>
  <si>
    <t xml:space="preserve">1362 HOMESTEAD ST                  </t>
  </si>
  <si>
    <t xml:space="preserve">N B S,INC.                    </t>
  </si>
  <si>
    <t xml:space="preserve">3563 HORTON AVE                    </t>
  </si>
  <si>
    <t xml:space="preserve">HOCK, FRANK                   </t>
  </si>
  <si>
    <t xml:space="preserve">0325 N HOWARD ST                   </t>
  </si>
  <si>
    <t xml:space="preserve">325-327 N. HOWARD STREET, LLC </t>
  </si>
  <si>
    <t>C-5HS</t>
  </si>
  <si>
    <t xml:space="preserve">2512 HURON ST                      </t>
  </si>
  <si>
    <t xml:space="preserve">NOEL, MICHAEL                 </t>
  </si>
  <si>
    <t xml:space="preserve">2405 HURON ST                      </t>
  </si>
  <si>
    <t xml:space="preserve">JOSEPH N DOWELL &amp; WF          </t>
  </si>
  <si>
    <t xml:space="preserve">0022 IRON AL                       </t>
  </si>
  <si>
    <t xml:space="preserve">HERENA USA, LLC               </t>
  </si>
  <si>
    <t xml:space="preserve">0834 JACK ST                       </t>
  </si>
  <si>
    <t xml:space="preserve">GARBER, RONALD F.             </t>
  </si>
  <si>
    <t xml:space="preserve">0820 JACK ST                       </t>
  </si>
  <si>
    <t xml:space="preserve">JONES, KIMBERLY F.            </t>
  </si>
  <si>
    <t xml:space="preserve">0816 JACK ST                       </t>
  </si>
  <si>
    <t xml:space="preserve">RODRIQUEZ, LORENZO            </t>
  </si>
  <si>
    <t xml:space="preserve">3032 JANICE AVE                    </t>
  </si>
  <si>
    <t xml:space="preserve">MBAGWU, GEORGE C              </t>
  </si>
  <si>
    <t xml:space="preserve">2508 JEFFERSON ST                  </t>
  </si>
  <si>
    <t xml:space="preserve">PAUCAR, SEGUNDO S             </t>
  </si>
  <si>
    <t xml:space="preserve">2117-2119 JEFFERSON ST             </t>
  </si>
  <si>
    <t xml:space="preserve">PATERSON PARK EMERGENCY       </t>
  </si>
  <si>
    <t xml:space="preserve">2504 JEFFERSON ST                  </t>
  </si>
  <si>
    <t xml:space="preserve">NEW LEBANON CALVARY BAPTIST   </t>
  </si>
  <si>
    <t xml:space="preserve">2506 JEFFERSON ST                  </t>
  </si>
  <si>
    <t xml:space="preserve">0839 E JEFFREY ST                  </t>
  </si>
  <si>
    <t xml:space="preserve">RODRIGUEZ, LORENZO            </t>
  </si>
  <si>
    <t xml:space="preserve">4613 KAVON AVE                     </t>
  </si>
  <si>
    <t xml:space="preserve">OMRAN, WASSIM                 </t>
  </si>
  <si>
    <t xml:space="preserve">1906 KENNEDY AVE                   </t>
  </si>
  <si>
    <t xml:space="preserve">BUTLER II, GEORGE R           </t>
  </si>
  <si>
    <t xml:space="preserve">1912 KENNEDY AVE                   </t>
  </si>
  <si>
    <t xml:space="preserve">MARLATTT, MARK                </t>
  </si>
  <si>
    <t xml:space="preserve">1911 KENNEDY AVE                   </t>
  </si>
  <si>
    <t xml:space="preserve">BROWN, LINDA D                </t>
  </si>
  <si>
    <t xml:space="preserve">1922 KENNEDY AVE                   </t>
  </si>
  <si>
    <t xml:space="preserve">NORTHGATE REALTY HOLDING      </t>
  </si>
  <si>
    <t xml:space="preserve">2000 KENNEDY AVE                   </t>
  </si>
  <si>
    <t xml:space="preserve">3211 KENYON AVE                    </t>
  </si>
  <si>
    <t xml:space="preserve">PHAM, MINH                    </t>
  </si>
  <si>
    <t xml:space="preserve">2913 KEYWORTH AVE                  </t>
  </si>
  <si>
    <t xml:space="preserve">WILKES, ANTHONY L.            </t>
  </si>
  <si>
    <t xml:space="preserve">0157 S KOSSUTH ST                  </t>
  </si>
  <si>
    <t xml:space="preserve">INBROOK HOMES, LLC            </t>
  </si>
  <si>
    <t xml:space="preserve">0153 S KOSSUTH ST                  </t>
  </si>
  <si>
    <t xml:space="preserve">LEWIS, FRED J                 </t>
  </si>
  <si>
    <t xml:space="preserve">1311 KUPER ST                      </t>
  </si>
  <si>
    <t xml:space="preserve">MARVEL, DAVID                 </t>
  </si>
  <si>
    <t xml:space="preserve">1226 E LAFAYETTE AVE               </t>
  </si>
  <si>
    <t xml:space="preserve">ARVIN, BENJAMIN               </t>
  </si>
  <si>
    <t xml:space="preserve">1506 E LAFAYETTE AVE               </t>
  </si>
  <si>
    <t xml:space="preserve">GARLYN INVESTMENTS, INC.      </t>
  </si>
  <si>
    <t xml:space="preserve">1600 E LAFAYETTE AVE               </t>
  </si>
  <si>
    <t xml:space="preserve">JONES, LEROY H                </t>
  </si>
  <si>
    <t xml:space="preserve">1330 W LAFAYETTE AVE               </t>
  </si>
  <si>
    <t xml:space="preserve">SMITH, DANIEL E.              </t>
  </si>
  <si>
    <t xml:space="preserve">1337 W LAFAYETTE AVE               </t>
  </si>
  <si>
    <t xml:space="preserve">1627 W LAFAYETTE AVE               </t>
  </si>
  <si>
    <t xml:space="preserve">HUMPHREY, ANDRE H             </t>
  </si>
  <si>
    <t xml:space="preserve">1629 W LAFAYETTE AVE               </t>
  </si>
  <si>
    <t xml:space="preserve">WASHINGTON, OSBORN G          </t>
  </si>
  <si>
    <t xml:space="preserve">1623 W LAFAYETTE AVE               </t>
  </si>
  <si>
    <t xml:space="preserve">HENKIS, GRETTA                </t>
  </si>
  <si>
    <t xml:space="preserve">1641 W LAFAYETTE AVE               </t>
  </si>
  <si>
    <t xml:space="preserve">LORD S HOUSE, INC.            </t>
  </si>
  <si>
    <t xml:space="preserve">1639 W LAFAYETTE AVE               </t>
  </si>
  <si>
    <t xml:space="preserve">MILLS, RICHARD                </t>
  </si>
  <si>
    <t xml:space="preserve">1621 W LAFAYETTE AVE               </t>
  </si>
  <si>
    <t xml:space="preserve">1619 W LAFAYETTE AVE               </t>
  </si>
  <si>
    <t xml:space="preserve">2906 W LAFAYETTE AVE               </t>
  </si>
  <si>
    <t xml:space="preserve">FEATHERSTONE MANAGEMENT LLC   </t>
  </si>
  <si>
    <t xml:space="preserve">2754 W LAFAYETTE AVE               </t>
  </si>
  <si>
    <t xml:space="preserve">FIRST TIME, INCORPORATED, THE </t>
  </si>
  <si>
    <t xml:space="preserve">2750 W LAFAYETTE AVE               </t>
  </si>
  <si>
    <t xml:space="preserve">HARRIS, NIKIA A               </t>
  </si>
  <si>
    <t xml:space="preserve">2738 W LAFAYETTE AVE               </t>
  </si>
  <si>
    <t xml:space="preserve">JAMES, GERALD                 </t>
  </si>
  <si>
    <t xml:space="preserve">2740 W LAFAYETTE AVE               </t>
  </si>
  <si>
    <t xml:space="preserve">BECKER, ALLEN                 </t>
  </si>
  <si>
    <t xml:space="preserve">2803 W LAFAYETTE AVE               </t>
  </si>
  <si>
    <t xml:space="preserve">FAISON, GLOVER                </t>
  </si>
  <si>
    <t xml:space="preserve">2736 W LAFAYETTE AVE               </t>
  </si>
  <si>
    <t xml:space="preserve">AMES, CHANIE L                </t>
  </si>
  <si>
    <t xml:space="preserve">2870 W LANVALE ST                  </t>
  </si>
  <si>
    <t xml:space="preserve">COLES, TIMOTHY                </t>
  </si>
  <si>
    <t xml:space="preserve">2801 W LANVALE ST                  </t>
  </si>
  <si>
    <t xml:space="preserve">ALLEN JR., MICHAEL A          </t>
  </si>
  <si>
    <t xml:space="preserve">2835 W LANVALE ST                  </t>
  </si>
  <si>
    <t xml:space="preserve">CALDWELL, JAMES C             </t>
  </si>
  <si>
    <t xml:space="preserve">2825 W LANVALE ST                  </t>
  </si>
  <si>
    <t xml:space="preserve">KING, KATIA N                 </t>
  </si>
  <si>
    <t xml:space="preserve">2849 W LANVALE ST                  </t>
  </si>
  <si>
    <t xml:space="preserve">ROX DEVELOPERS INC            </t>
  </si>
  <si>
    <t xml:space="preserve">2869 W LANVALE ST                  </t>
  </si>
  <si>
    <t xml:space="preserve">SCHIEFERSTEIN, ELEANOR        </t>
  </si>
  <si>
    <t xml:space="preserve">2847 W LANVALE ST                  </t>
  </si>
  <si>
    <t xml:space="preserve">DARDEN, STEPHEN C             </t>
  </si>
  <si>
    <t xml:space="preserve">2865 W LANVALE ST                  </t>
  </si>
  <si>
    <t xml:space="preserve">G &amp; H INC.                    </t>
  </si>
  <si>
    <t xml:space="preserve">2901 W LANVALE ST                  </t>
  </si>
  <si>
    <t xml:space="preserve">CHARLES WILSON                </t>
  </si>
  <si>
    <t xml:space="preserve">3039 W LANVALE ST                  </t>
  </si>
  <si>
    <t xml:space="preserve">MCARTHUR, DONALD A            </t>
  </si>
  <si>
    <t xml:space="preserve">1003 W LANVALE ST                  </t>
  </si>
  <si>
    <t xml:space="preserve">EMERY SUMMIT PARTNERS, LLC    </t>
  </si>
  <si>
    <t xml:space="preserve">1001 W LANVALE ST                  </t>
  </si>
  <si>
    <t xml:space="preserve">1623 W LANVALE ST                  </t>
  </si>
  <si>
    <t xml:space="preserve">INTERNATIONAL LOAN NETWORK    </t>
  </si>
  <si>
    <t xml:space="preserve">1532 W LANVALE ST                  </t>
  </si>
  <si>
    <t xml:space="preserve">PAGAN, BRYANT A.              </t>
  </si>
  <si>
    <t xml:space="preserve">1504 W LANVALE ST                  </t>
  </si>
  <si>
    <t xml:space="preserve">BLACKMON, CRAWFORD            </t>
  </si>
  <si>
    <t xml:space="preserve">1502 W LANVALE ST                  </t>
  </si>
  <si>
    <t xml:space="preserve">MIDDLETON, CATHERINE G        </t>
  </si>
  <si>
    <t xml:space="preserve">2015 W LANVALE ST                  </t>
  </si>
  <si>
    <t xml:space="preserve">MAYO, JANICE                  </t>
  </si>
  <si>
    <t xml:space="preserve">1839 W LANVALE ST                  </t>
  </si>
  <si>
    <t xml:space="preserve">NEUBERG ETAL, JEFF            </t>
  </si>
  <si>
    <t xml:space="preserve">2025 W LANVALE ST                  </t>
  </si>
  <si>
    <t xml:space="preserve">MOLE &amp; ASSOCIATES, INC.       </t>
  </si>
  <si>
    <t xml:space="preserve">2028 W LANVALE ST                  </t>
  </si>
  <si>
    <t xml:space="preserve">WARD, BETTY                   </t>
  </si>
  <si>
    <t xml:space="preserve">1805 W LANVALE ST                  </t>
  </si>
  <si>
    <t xml:space="preserve">VASQUEZ, FERMIN A             </t>
  </si>
  <si>
    <t xml:space="preserve">1824 W LANVALE ST                  </t>
  </si>
  <si>
    <t xml:space="preserve">OUTLAW, THEODORE              </t>
  </si>
  <si>
    <t xml:space="preserve">2034 W LANVALE ST                  </t>
  </si>
  <si>
    <t xml:space="preserve">1820 W LANVALE ST                  </t>
  </si>
  <si>
    <t xml:space="preserve">1946 W LANVALE ST                  </t>
  </si>
  <si>
    <t xml:space="preserve">JONES, SAMUEL A               </t>
  </si>
  <si>
    <t xml:space="preserve">1936 W LANVALE ST                  </t>
  </si>
  <si>
    <t xml:space="preserve">WASHINGTON, BARBARA           </t>
  </si>
  <si>
    <t xml:space="preserve">1900 W LANVALE ST                  </t>
  </si>
  <si>
    <t xml:space="preserve">HINDS, ANNA P.                </t>
  </si>
  <si>
    <t xml:space="preserve">1530 W LANVALE ST                  </t>
  </si>
  <si>
    <t xml:space="preserve">EVANS, LAWRENCE               </t>
  </si>
  <si>
    <t xml:space="preserve">1026 W LANVALE ST                  </t>
  </si>
  <si>
    <t xml:space="preserve">ST. JAMES DEVELOPMENT         </t>
  </si>
  <si>
    <t xml:space="preserve">1600 W LANVALE ST                  </t>
  </si>
  <si>
    <t xml:space="preserve">ROACH, SEAN                   </t>
  </si>
  <si>
    <t xml:space="preserve">1620 W LANVALE ST                  </t>
  </si>
  <si>
    <t xml:space="preserve">SANDS, NETTIE                 </t>
  </si>
  <si>
    <t xml:space="preserve">1948 W LANVALE ST                  </t>
  </si>
  <si>
    <t xml:space="preserve">REDD, ROBERT L                </t>
  </si>
  <si>
    <t xml:space="preserve">2013 W LANVALE ST                  </t>
  </si>
  <si>
    <t xml:space="preserve">HAMILTON, REGINALD            </t>
  </si>
  <si>
    <t xml:space="preserve">1518 W LANVALE ST                  </t>
  </si>
  <si>
    <t xml:space="preserve">JACKSON, RONALD               </t>
  </si>
  <si>
    <t xml:space="preserve">2008 W LANVALE ST                  </t>
  </si>
  <si>
    <t xml:space="preserve">WHITFIELD, DEREK              </t>
  </si>
  <si>
    <t xml:space="preserve">1413 E LANVALE ST                  </t>
  </si>
  <si>
    <t xml:space="preserve">TURNER, WESLEY B.             </t>
  </si>
  <si>
    <t xml:space="preserve">1502 E LANVALE ST                  </t>
  </si>
  <si>
    <t xml:space="preserve">OGH ECO-FRIENDLY HOMES OF     </t>
  </si>
  <si>
    <t xml:space="preserve">1504 E LANVALE ST                  </t>
  </si>
  <si>
    <t xml:space="preserve">FOXWOOD NATIONAL, LLC         </t>
  </si>
  <si>
    <t xml:space="preserve">1629 E LANVALE ST                  </t>
  </si>
  <si>
    <t xml:space="preserve">GGEL ENTERPRISES, INC.        </t>
  </si>
  <si>
    <t xml:space="preserve">1624 E LANVALE ST                  </t>
  </si>
  <si>
    <t xml:space="preserve">BENNETT, CYNTHIA              </t>
  </si>
  <si>
    <t xml:space="preserve">0577 LAURENS ST                    </t>
  </si>
  <si>
    <t xml:space="preserve">ALEDRESI, SADEK               </t>
  </si>
  <si>
    <t xml:space="preserve">1603 LAURENS ST                    </t>
  </si>
  <si>
    <t xml:space="preserve">CISSE, MBOYE                  </t>
  </si>
  <si>
    <t xml:space="preserve">1939 LAURETTA AVE                  </t>
  </si>
  <si>
    <t xml:space="preserve">TYSON, DEBORAH                </t>
  </si>
  <si>
    <t xml:space="preserve">1902 LAURETTA AVE                  </t>
  </si>
  <si>
    <t xml:space="preserve">MONTGOMERY, LUCILLE           </t>
  </si>
  <si>
    <t xml:space="preserve">1945 LAURETTA AVE                  </t>
  </si>
  <si>
    <t xml:space="preserve">PARKER JR., JOHN H            </t>
  </si>
  <si>
    <t xml:space="preserve">1904 LAURETTA AVE                  </t>
  </si>
  <si>
    <t xml:space="preserve">BAJWA, KHALID                 </t>
  </si>
  <si>
    <t xml:space="preserve">1810 LAURETTA AVE                  </t>
  </si>
  <si>
    <t xml:space="preserve">MOTON, EARNELL                </t>
  </si>
  <si>
    <t xml:space="preserve">1808 LAURETTA AVE                  </t>
  </si>
  <si>
    <t xml:space="preserve">1806 LAURETTA AVE                  </t>
  </si>
  <si>
    <t xml:space="preserve">ALL STATE PROPERTIES,INC.     </t>
  </si>
  <si>
    <t xml:space="preserve">1912 LAURETTA AVE                  </t>
  </si>
  <si>
    <t xml:space="preserve">JMCN, INC.                    </t>
  </si>
  <si>
    <t xml:space="preserve">1922 LAURETTA AVE                  </t>
  </si>
  <si>
    <t xml:space="preserve">PENDLETON, JAMES H            </t>
  </si>
  <si>
    <t xml:space="preserve">2422 LAURETTA AVE                  </t>
  </si>
  <si>
    <t xml:space="preserve">BENJAMIN, ANGELA              </t>
  </si>
  <si>
    <t xml:space="preserve">2312 LAURETTA AVE                  </t>
  </si>
  <si>
    <t xml:space="preserve">ANDREWS RENOVATIONS, LLC      </t>
  </si>
  <si>
    <t xml:space="preserve">2707 LAURETTA AVE                  </t>
  </si>
  <si>
    <t xml:space="preserve">ADA SANDERS                   </t>
  </si>
  <si>
    <t xml:space="preserve">2801 LAURETTA AVE                  </t>
  </si>
  <si>
    <t xml:space="preserve">3212 LEEDS ST                      </t>
  </si>
  <si>
    <t xml:space="preserve">HENRIETTA HARRISON            </t>
  </si>
  <si>
    <t xml:space="preserve">2630 LEHMAN ST                     </t>
  </si>
  <si>
    <t xml:space="preserve">TANGLEWOOD MANOR INC          </t>
  </si>
  <si>
    <t xml:space="preserve">1813 LEMMON ST                     </t>
  </si>
  <si>
    <t xml:space="preserve">PATTERSON, BRANDON            </t>
  </si>
  <si>
    <t xml:space="preserve">1815 LEMMON ST                     </t>
  </si>
  <si>
    <t xml:space="preserve">HONGDOXMAI, WANCHAI           </t>
  </si>
  <si>
    <t xml:space="preserve">1909 LEMMON ST                     </t>
  </si>
  <si>
    <t xml:space="preserve">NB7 BUSINESS TRUST            </t>
  </si>
  <si>
    <t xml:space="preserve">1835 W LEXINGTON ST                </t>
  </si>
  <si>
    <t xml:space="preserve">DAVIS, STANLEY O              </t>
  </si>
  <si>
    <t xml:space="preserve">2143 W LEXINGTON ST                </t>
  </si>
  <si>
    <t xml:space="preserve">FOADING, MINABELLE            </t>
  </si>
  <si>
    <t xml:space="preserve">1536 W LEXINGTON ST                </t>
  </si>
  <si>
    <t xml:space="preserve">YOUNG, GLORIA                 </t>
  </si>
  <si>
    <t xml:space="preserve">2026 W LEXINGTON ST                </t>
  </si>
  <si>
    <t xml:space="preserve">WALLACE, WOODROW              </t>
  </si>
  <si>
    <t xml:space="preserve">5217 LINDEN HEIGHTS AVE            </t>
  </si>
  <si>
    <t xml:space="preserve">HOME SOLUTIONS CAPITAL LLC    </t>
  </si>
  <si>
    <t xml:space="preserve">0768 LINNARD ST                    </t>
  </si>
  <si>
    <t xml:space="preserve">KLRC REAL ESTATE, LLC         </t>
  </si>
  <si>
    <t xml:space="preserve">2835 LITTLE STAFFORD ST            </t>
  </si>
  <si>
    <t xml:space="preserve">SHARP, ERNEST                 </t>
  </si>
  <si>
    <t xml:space="preserve">2551 W LOMBARD ST                  </t>
  </si>
  <si>
    <t xml:space="preserve">LOWERY, RICKIE                </t>
  </si>
  <si>
    <t xml:space="preserve">1907 W LOMBARD ST                  </t>
  </si>
  <si>
    <t xml:space="preserve">HORZ, HERMAN A (LIFE)         </t>
  </si>
  <si>
    <t xml:space="preserve">1913 W LOMBARD ST                  </t>
  </si>
  <si>
    <t xml:space="preserve">LIFETIME INVESTMENT, INC.     </t>
  </si>
  <si>
    <t xml:space="preserve">1915 W LOMBARD ST                  </t>
  </si>
  <si>
    <t xml:space="preserve">WILKENS THREE, INC.           </t>
  </si>
  <si>
    <t xml:space="preserve">1306 W LOMBARD ST                  </t>
  </si>
  <si>
    <t xml:space="preserve">HOUSSEINI, ABDOUL-AZIZ        </t>
  </si>
  <si>
    <t xml:space="preserve">0539 N LONGWOOD ST                 </t>
  </si>
  <si>
    <t xml:space="preserve">SS3 BUSINESS TRUST            </t>
  </si>
  <si>
    <t xml:space="preserve">0601 N LONGWOOD ST                 </t>
  </si>
  <si>
    <t xml:space="preserve">BASS, MARION L                </t>
  </si>
  <si>
    <t xml:space="preserve">1152 N LONGWOOD ST                 </t>
  </si>
  <si>
    <t xml:space="preserve">MOSES, YOLANDA                </t>
  </si>
  <si>
    <t xml:space="preserve">1409 N LONGWOOD ST                 </t>
  </si>
  <si>
    <t xml:space="preserve">VICTORIN, BETHY               </t>
  </si>
  <si>
    <t xml:space="preserve">1611 N LONGWOOD ST                 </t>
  </si>
  <si>
    <t xml:space="preserve">LIBERTY COMMUNITY DEVELOPMENT </t>
  </si>
  <si>
    <t xml:space="preserve">1613 N LONGWOOD ST                 </t>
  </si>
  <si>
    <t xml:space="preserve">JOHN H PARKER                 </t>
  </si>
  <si>
    <t xml:space="preserve">1301 N LONGWOOD ST                 </t>
  </si>
  <si>
    <t xml:space="preserve">AVERY, CRYSTAL                </t>
  </si>
  <si>
    <t xml:space="preserve">1839 LORMAN ST                     </t>
  </si>
  <si>
    <t xml:space="preserve">SMITH, RODNEY                 </t>
  </si>
  <si>
    <t xml:space="preserve">3514 LUCILLE AVE                   </t>
  </si>
  <si>
    <t xml:space="preserve">MID-ATLANTIC PROPERTY AND     </t>
  </si>
  <si>
    <t xml:space="preserve">3606 LUCILLE AVE                   </t>
  </si>
  <si>
    <t xml:space="preserve">CHILDRESS, NAOMI              </t>
  </si>
  <si>
    <t xml:space="preserve">3236 LYNDALE AVE                   </t>
  </si>
  <si>
    <t xml:space="preserve">CARLOS R MADDOX &amp; WF          </t>
  </si>
  <si>
    <t xml:space="preserve">3220 LYNDALE AVE                   </t>
  </si>
  <si>
    <t xml:space="preserve">HILLIARD, DAVID               </t>
  </si>
  <si>
    <t xml:space="preserve">3162 LYNDALE AVE                   </t>
  </si>
  <si>
    <t xml:space="preserve">MARROW, DIEDRA                </t>
  </si>
  <si>
    <t xml:space="preserve">3009 LYTTLETON ROAD                </t>
  </si>
  <si>
    <t xml:space="preserve">JOHNNY J ALDERMAN &amp; WF        </t>
  </si>
  <si>
    <t xml:space="preserve">2223 E MADISON ST                  </t>
  </si>
  <si>
    <t>BALTIMORE REDEVELOPMENT PROJEC</t>
  </si>
  <si>
    <t xml:space="preserve">2301 E MADISON ST                  </t>
  </si>
  <si>
    <t xml:space="preserve">FORD, NINA                    </t>
  </si>
  <si>
    <t xml:space="preserve">2610-2614 MAEMPEL LANE             </t>
  </si>
  <si>
    <t xml:space="preserve">CURTIN, JAMES                 </t>
  </si>
  <si>
    <t xml:space="preserve">2628 MAEMPEL LANE                  </t>
  </si>
  <si>
    <t xml:space="preserve">SHIELDS PLACE PROPERTIES, LLC </t>
  </si>
  <si>
    <t xml:space="preserve">2634 MAEMPEL LANE                  </t>
  </si>
  <si>
    <t xml:space="preserve">2632 MAEMPEL LANE                  </t>
  </si>
  <si>
    <t xml:space="preserve">2630 MAEMPEL LANE                  </t>
  </si>
  <si>
    <t xml:space="preserve">4406 MAINE AVE                     </t>
  </si>
  <si>
    <t xml:space="preserve">WICKHAM, RUTH A               </t>
  </si>
  <si>
    <t>R-1-E</t>
  </si>
  <si>
    <t xml:space="preserve">3735 MANCHESTER AVE                </t>
  </si>
  <si>
    <t xml:space="preserve">C.F.N. NETWORKS DIRECT, LLC   </t>
  </si>
  <si>
    <t xml:space="preserve">3630 MANCHESTER AVE                </t>
  </si>
  <si>
    <t xml:space="preserve">MURPHY, MARSHALL P            </t>
  </si>
  <si>
    <t xml:space="preserve">0321 MARTINGALE AVE                </t>
  </si>
  <si>
    <t xml:space="preserve">KAUFMAN, DORIS S              </t>
  </si>
  <si>
    <t xml:space="preserve">3043 MAYFIELD AVE                  </t>
  </si>
  <si>
    <t xml:space="preserve">NAILL, LETTIE V               </t>
  </si>
  <si>
    <t xml:space="preserve">2575 MCCULLOH ST                   </t>
  </si>
  <si>
    <t xml:space="preserve">WINKEY, OGAOMA                </t>
  </si>
  <si>
    <t xml:space="preserve">0265 MCCURLEY ST                   </t>
  </si>
  <si>
    <t xml:space="preserve">3823 FERNHILL AVENUE LLC      </t>
  </si>
  <si>
    <t xml:space="preserve">0201 MCCURLEY ST                   </t>
  </si>
  <si>
    <t xml:space="preserve">JUNIUS C SWEET                </t>
  </si>
  <si>
    <t xml:space="preserve">3108 MCELDERRY ST                  </t>
  </si>
  <si>
    <t xml:space="preserve">COFFMAN II, TERRY L.          </t>
  </si>
  <si>
    <t xml:space="preserve">2630 MCELDERRY ST                  </t>
  </si>
  <si>
    <t xml:space="preserve">CDE REALTY, LLC               </t>
  </si>
  <si>
    <t xml:space="preserve">2243 MCELDERRY ST                  </t>
  </si>
  <si>
    <t xml:space="preserve">AFTEEBE, INC                  </t>
  </si>
  <si>
    <t xml:space="preserve">3331 MCELDERRY ST                  </t>
  </si>
  <si>
    <t xml:space="preserve">PM&amp;L SOLUTIONS, LLC           </t>
  </si>
  <si>
    <t xml:space="preserve">2539 MCHENRY ST                    </t>
  </si>
  <si>
    <t xml:space="preserve">2553 MCHENRY ST                    </t>
  </si>
  <si>
    <t xml:space="preserve">CORSO INVESTMENT GROUP        </t>
  </si>
  <si>
    <t xml:space="preserve">1845 MCHENRY ST                    </t>
  </si>
  <si>
    <t xml:space="preserve">MEHTA, CHETAN B               </t>
  </si>
  <si>
    <t xml:space="preserve">2115 MCHENRY ST                    </t>
  </si>
  <si>
    <t xml:space="preserve">PATTAMMADY, MANOJ J           </t>
  </si>
  <si>
    <t xml:space="preserve">2007 MCHENRY ST                    </t>
  </si>
  <si>
    <t xml:space="preserve">BLUE DIAMOND PROPERTIES LLC   </t>
  </si>
  <si>
    <t xml:space="preserve">1417 MCHENRY ST                    </t>
  </si>
  <si>
    <t xml:space="preserve">NAGI, HAMZAH                  </t>
  </si>
  <si>
    <t xml:space="preserve">1120 MCKEAN AVE                    </t>
  </si>
  <si>
    <t xml:space="preserve">RIVERS, MARION E              </t>
  </si>
  <si>
    <t xml:space="preserve">1609 MCKEAN AVE                    </t>
  </si>
  <si>
    <t xml:space="preserve">MBAGWU, GEORGE                </t>
  </si>
  <si>
    <t xml:space="preserve">1122 MCKEAN AVE                    </t>
  </si>
  <si>
    <t xml:space="preserve">BOSTON-TONGE, ELNORA          </t>
  </si>
  <si>
    <t xml:space="preserve">1718 MCKEAN AVE                    </t>
  </si>
  <si>
    <t xml:space="preserve">1717 MCKEAN AVE                    </t>
  </si>
  <si>
    <t xml:space="preserve">HH DOUGLAS, LLC               </t>
  </si>
  <si>
    <t xml:space="preserve">1713 MCKEAN AVE                    </t>
  </si>
  <si>
    <t xml:space="preserve">NEW ERA GROUP L.L.C.          </t>
  </si>
  <si>
    <t xml:space="preserve">1711 MCKEAN AVE                    </t>
  </si>
  <si>
    <t xml:space="preserve">SPENCER, ELAINE               </t>
  </si>
  <si>
    <t xml:space="preserve">1016 MCKEAN AVE                    </t>
  </si>
  <si>
    <t xml:space="preserve">LOWERY, CRAIG                 </t>
  </si>
  <si>
    <t xml:space="preserve">1008 MCKEAN AVE                    </t>
  </si>
  <si>
    <t xml:space="preserve">PAYNE, CHARLIE H              </t>
  </si>
  <si>
    <t xml:space="preserve">0901 MCKEAN AVE                    </t>
  </si>
  <si>
    <t xml:space="preserve">RIVERA, VERA                  </t>
  </si>
  <si>
    <t xml:space="preserve">0822 MCKEAN AVE                    </t>
  </si>
  <si>
    <t xml:space="preserve">JACKSON, AYANNA K.            </t>
  </si>
  <si>
    <t xml:space="preserve">0910 MCKEAN AVE                    </t>
  </si>
  <si>
    <t xml:space="preserve">SMITH, MAGGIE (LIFE)          </t>
  </si>
  <si>
    <t xml:space="preserve">1912 MCKEAN AVE                    </t>
  </si>
  <si>
    <t xml:space="preserve">YASIN, NIKENGE                </t>
  </si>
  <si>
    <t xml:space="preserve">0113 MCPHAIL ST                    </t>
  </si>
  <si>
    <t xml:space="preserve">TRIMARK MANAGEMENT COMPANY    </t>
  </si>
  <si>
    <t xml:space="preserve">0123 MCPHAIL ST                    </t>
  </si>
  <si>
    <t xml:space="preserve">0131 MCPHAIL ST                    </t>
  </si>
  <si>
    <t xml:space="preserve">DYKES, GEORGE                 </t>
  </si>
  <si>
    <t xml:space="preserve">0129 MCPHAIL ST                    </t>
  </si>
  <si>
    <t xml:space="preserve">2729 MILES AVE                     </t>
  </si>
  <si>
    <t xml:space="preserve">COFFMAN II, TERRY LEE         </t>
  </si>
  <si>
    <t xml:space="preserve">3622 MILFORD AVE                   </t>
  </si>
  <si>
    <t xml:space="preserve">MACKLIN, DELORES J            </t>
  </si>
  <si>
    <t xml:space="preserve">2333 MILLIMAN ST                   </t>
  </si>
  <si>
    <t xml:space="preserve">SCOTT, EDITH                  </t>
  </si>
  <si>
    <t xml:space="preserve">2334 MILLIMAN ST                   </t>
  </si>
  <si>
    <t xml:space="preserve">DAMO, F D LTD                 </t>
  </si>
  <si>
    <t xml:space="preserve">2332 MILLIMAN ST                   </t>
  </si>
  <si>
    <t xml:space="preserve">DAMO F D LTD                  </t>
  </si>
  <si>
    <t xml:space="preserve">2329 MILLIMAN ST                   </t>
  </si>
  <si>
    <t xml:space="preserve">ASHLAND DEVELOPMENT FUND, LLC </t>
  </si>
  <si>
    <t xml:space="preserve">2331 MILLIMAN ST                   </t>
  </si>
  <si>
    <t xml:space="preserve">SHUMBA, INC.                  </t>
  </si>
  <si>
    <t xml:space="preserve">2328 MILLIMAN ST                   </t>
  </si>
  <si>
    <t xml:space="preserve">SHED REALTY, INC.             </t>
  </si>
  <si>
    <t xml:space="preserve">2323 MILLIMAN ST                   </t>
  </si>
  <si>
    <t xml:space="preserve">2330 MILLIMAN ST                   </t>
  </si>
  <si>
    <t xml:space="preserve">0305 MILLINGTON AVE                </t>
  </si>
  <si>
    <t xml:space="preserve">WILKES, ANTHONY               </t>
  </si>
  <si>
    <t xml:space="preserve">0505 MILLINGTON AVE                </t>
  </si>
  <si>
    <t xml:space="preserve">SURMAN, ALBERT                </t>
  </si>
  <si>
    <t xml:space="preserve">1015 N MILTON AVE                  </t>
  </si>
  <si>
    <t xml:space="preserve">B &amp; B TUNNELLING, INC.        </t>
  </si>
  <si>
    <t xml:space="preserve">0410 N MILTON AVE                  </t>
  </si>
  <si>
    <t xml:space="preserve">GRAY, RONALD W                </t>
  </si>
  <si>
    <t xml:space="preserve">0712 N MILTON AVE                  </t>
  </si>
  <si>
    <t xml:space="preserve">VALENTINE, RICARDO D          </t>
  </si>
  <si>
    <t xml:space="preserve">1110 N MILTON AVE                  </t>
  </si>
  <si>
    <t xml:space="preserve">JOHNSON, CHARLES   M          </t>
  </si>
  <si>
    <t xml:space="preserve">1104 N MILTON AVE                  </t>
  </si>
  <si>
    <t xml:space="preserve">DECIUTIIS, NICHOLAS J.        </t>
  </si>
  <si>
    <t xml:space="preserve">1735 N MILTON AVE                  </t>
  </si>
  <si>
    <t xml:space="preserve">PLASKETT, PATRICK             </t>
  </si>
  <si>
    <t xml:space="preserve">1805 N MILTON AVE                  </t>
  </si>
  <si>
    <t xml:space="preserve">TRINITY INVESTMENT GROUP LLC  </t>
  </si>
  <si>
    <t xml:space="preserve">1665 N MILTON AVE                  </t>
  </si>
  <si>
    <t xml:space="preserve">FONTZ JR, FREDERICK R         </t>
  </si>
  <si>
    <t xml:space="preserve">0047 N MONASTERY AVE               </t>
  </si>
  <si>
    <t xml:space="preserve">OPHER, HILDA                  </t>
  </si>
  <si>
    <t xml:space="preserve">0018 S MONASTERY AVE               </t>
  </si>
  <si>
    <t xml:space="preserve">NAIDITCH, BERNARD             </t>
  </si>
  <si>
    <t xml:space="preserve">2325 N MONROE ST                   </t>
  </si>
  <si>
    <t xml:space="preserve">WILLIAMS, WILLIE A            </t>
  </si>
  <si>
    <t xml:space="preserve">0006 N MONROE ST                   </t>
  </si>
  <si>
    <t xml:space="preserve">BRANDON, CHARLES              </t>
  </si>
  <si>
    <t xml:space="preserve">0207 S MONROE ST                   </t>
  </si>
  <si>
    <t>JOHNSON &amp; JOHNSON CONSTRUCTION</t>
  </si>
  <si>
    <t xml:space="preserve">0006 S MONROE ST                   </t>
  </si>
  <si>
    <t xml:space="preserve">518 N COLLINGTON, LLC         </t>
  </si>
  <si>
    <t xml:space="preserve">0307 S MONROE ST                   </t>
  </si>
  <si>
    <t xml:space="preserve">NEGAPATAN, NILO               </t>
  </si>
  <si>
    <t xml:space="preserve">R-8* </t>
  </si>
  <si>
    <t xml:space="preserve">0341 S MONROE ST                   </t>
  </si>
  <si>
    <t xml:space="preserve">DUFF, CATHERINE L             </t>
  </si>
  <si>
    <t xml:space="preserve">0008 N MONROE ST                   </t>
  </si>
  <si>
    <t xml:space="preserve">KEELS, ADAM S                 </t>
  </si>
  <si>
    <t xml:space="preserve">0351 S MONROE ST                   </t>
  </si>
  <si>
    <t xml:space="preserve">TADROS, JOHN                  </t>
  </si>
  <si>
    <t xml:space="preserve">0014 N MONROE ST                   </t>
  </si>
  <si>
    <t xml:space="preserve">EVANS, ANTHONY                </t>
  </si>
  <si>
    <t xml:space="preserve">0305 S MONROE ST                   </t>
  </si>
  <si>
    <t xml:space="preserve">GORE, CLARANCE                </t>
  </si>
  <si>
    <t xml:space="preserve">0122 S MONROE ST                   </t>
  </si>
  <si>
    <t xml:space="preserve">TEA ROSE ASSOCIATES LLC       </t>
  </si>
  <si>
    <t xml:space="preserve">0604 N MONROE ST                   </t>
  </si>
  <si>
    <t xml:space="preserve">RILEY SR, ALFRED H            </t>
  </si>
  <si>
    <t xml:space="preserve">0709 N MONROE ST                   </t>
  </si>
  <si>
    <t xml:space="preserve">B &amp; B INVESTMENT GROUP, INC.  </t>
  </si>
  <si>
    <t xml:space="preserve">0606 N MONROE ST                   </t>
  </si>
  <si>
    <t xml:space="preserve">RENT-ECON, INC.               </t>
  </si>
  <si>
    <t xml:space="preserve">0616 N MONROE ST                   </t>
  </si>
  <si>
    <t xml:space="preserve">SPENCER, EDITH (LIFE)         </t>
  </si>
  <si>
    <t xml:space="preserve">0702 N MONROE ST                   </t>
  </si>
  <si>
    <t>REAL ESTATE DEVELOPMENT COMPAN</t>
  </si>
  <si>
    <t xml:space="preserve">1116 N MONROE ST                   </t>
  </si>
  <si>
    <t xml:space="preserve">WILLIAMS, JERALD J            </t>
  </si>
  <si>
    <t xml:space="preserve">1104 N MONROE ST                   </t>
  </si>
  <si>
    <t xml:space="preserve">SIMRET, LLC.                  </t>
  </si>
  <si>
    <t xml:space="preserve">1704 N MONROE ST                   </t>
  </si>
  <si>
    <t xml:space="preserve">OVADIA, JERRY                 </t>
  </si>
  <si>
    <t xml:space="preserve">1823 N MONROE ST                   </t>
  </si>
  <si>
    <t xml:space="preserve">MOON, ERIC                    </t>
  </si>
  <si>
    <t xml:space="preserve">1522 N MONROE ST                   </t>
  </si>
  <si>
    <t xml:space="preserve">TARTAR, NELLY M (LIFE)        </t>
  </si>
  <si>
    <t xml:space="preserve">1518 N MONROE ST                   </t>
  </si>
  <si>
    <t xml:space="preserve">GREGORY, MARY (LIFE)          </t>
  </si>
  <si>
    <t xml:space="preserve">1516 N MONROE ST                   </t>
  </si>
  <si>
    <t xml:space="preserve">BOYKINS, JAMES                </t>
  </si>
  <si>
    <t xml:space="preserve">1140 N MONROE ST                   </t>
  </si>
  <si>
    <t xml:space="preserve">BLACKWELL, TIMOTHY            </t>
  </si>
  <si>
    <t xml:space="preserve">1134 N MONROE ST                   </t>
  </si>
  <si>
    <t xml:space="preserve">MURPHY, DEVIN C               </t>
  </si>
  <si>
    <t xml:space="preserve">1132 N MONROE ST                   </t>
  </si>
  <si>
    <t xml:space="preserve">MEUKOUA, AUGUSTIN Y           </t>
  </si>
  <si>
    <t xml:space="preserve">1319 N MONROE ST                   </t>
  </si>
  <si>
    <t xml:space="preserve">BROADY, ALEX                  </t>
  </si>
  <si>
    <t xml:space="preserve">1313 N MONROE ST                   </t>
  </si>
  <si>
    <t xml:space="preserve">ASKEW, MARY B                 </t>
  </si>
  <si>
    <t xml:space="preserve">0108 N MONROE ST                   </t>
  </si>
  <si>
    <t xml:space="preserve">B.R.R. CORPORATION            </t>
  </si>
  <si>
    <t xml:space="preserve">0324 N MONROE ST                   </t>
  </si>
  <si>
    <t xml:space="preserve">MATTHEWS, MORRIS T            </t>
  </si>
  <si>
    <t xml:space="preserve">0102 N MONROE ST                   </t>
  </si>
  <si>
    <t xml:space="preserve">AMERICAN BUILDING AND         </t>
  </si>
  <si>
    <t xml:space="preserve">0507 N MONROE ST                   </t>
  </si>
  <si>
    <t xml:space="preserve">KEITH SR., EDWARD             </t>
  </si>
  <si>
    <t xml:space="preserve">0203 N MONROE ST                   </t>
  </si>
  <si>
    <t>ANY AND ALL LEGAL BUSINESS INC</t>
  </si>
  <si>
    <t xml:space="preserve">0706 N MONTFORD AVE                </t>
  </si>
  <si>
    <t xml:space="preserve">ATZ, LLC                      </t>
  </si>
  <si>
    <t xml:space="preserve">1621 MONTPELIER ST                 </t>
  </si>
  <si>
    <t xml:space="preserve">HARRIS, MARY E                </t>
  </si>
  <si>
    <t xml:space="preserve">1781 MONTPELIER ST                 </t>
  </si>
  <si>
    <t xml:space="preserve">COMMUNITY PROPERTIES, LLC.    </t>
  </si>
  <si>
    <t xml:space="preserve">1720 MONTPELIER ST                 </t>
  </si>
  <si>
    <t xml:space="preserve">ROBINSON, STELLA              </t>
  </si>
  <si>
    <t xml:space="preserve">1774 MONTPELIER ST                 </t>
  </si>
  <si>
    <t xml:space="preserve">GRADY, JAY F                  </t>
  </si>
  <si>
    <t xml:space="preserve">1722 MONTPELIER ST                 </t>
  </si>
  <si>
    <t xml:space="preserve">JOHNSON, MAMADOU              </t>
  </si>
  <si>
    <t xml:space="preserve">2411 E MONUMENT ST                 </t>
  </si>
  <si>
    <t xml:space="preserve">TILLMAN III, MILTON           </t>
  </si>
  <si>
    <t xml:space="preserve">3003 E MONUMENT ST                 </t>
  </si>
  <si>
    <t xml:space="preserve">CONNOR, BRIAN K               </t>
  </si>
  <si>
    <t xml:space="preserve">2614 E MONUMENT ST                 </t>
  </si>
  <si>
    <t xml:space="preserve">ORIMALADE, ADEDAPO            </t>
  </si>
  <si>
    <t xml:space="preserve">2643 E MONUMENT ST                 </t>
  </si>
  <si>
    <t xml:space="preserve">UMAGILIYA, SUJANA             </t>
  </si>
  <si>
    <t xml:space="preserve">2342 E MONUMENT ST                 </t>
  </si>
  <si>
    <t xml:space="preserve">QAISAR PROPERTIES LLC         </t>
  </si>
  <si>
    <t xml:space="preserve">2334 E MONUMENT ST                 </t>
  </si>
  <si>
    <t xml:space="preserve">SOLOMON, LARRY DONNELL        </t>
  </si>
  <si>
    <t xml:space="preserve">0305 W MONUMENT ST UNIT: 100       </t>
  </si>
  <si>
    <t xml:space="preserve">ALPHA DEVELOPMENT COMPANY     </t>
  </si>
  <si>
    <t>TOD-4</t>
  </si>
  <si>
    <t xml:space="preserve">3331 E MONUMENT ST                 </t>
  </si>
  <si>
    <t xml:space="preserve">GRANT, DOROTHEA KIM           </t>
  </si>
  <si>
    <t xml:space="preserve">1816 MORELAND AVE                  </t>
  </si>
  <si>
    <t xml:space="preserve">LEVI SEWELL &amp; WF              </t>
  </si>
  <si>
    <t xml:space="preserve">0175 S MORLEY ST                   </t>
  </si>
  <si>
    <t xml:space="preserve">BAKER, DOLORES                </t>
  </si>
  <si>
    <t xml:space="preserve">2258 MORRIS ST                     </t>
  </si>
  <si>
    <t xml:space="preserve">RENAUD, JEAN R.               </t>
  </si>
  <si>
    <t xml:space="preserve">2901 MOSHER ST                     </t>
  </si>
  <si>
    <t xml:space="preserve">COMPOUND YIELD PLAY, LLC      </t>
  </si>
  <si>
    <t xml:space="preserve">2940 MOSHER ST                     </t>
  </si>
  <si>
    <t xml:space="preserve">WAKE, MICHAEL L.              </t>
  </si>
  <si>
    <t xml:space="preserve">2908 MOSHER ST                     </t>
  </si>
  <si>
    <t xml:space="preserve">WHITEHEAD ETAL, WILL E        </t>
  </si>
  <si>
    <t xml:space="preserve">2941 MOSHER ST                     </t>
  </si>
  <si>
    <t xml:space="preserve">CE REALTY LLC                 </t>
  </si>
  <si>
    <t xml:space="preserve">1923 MOSHER ST                     </t>
  </si>
  <si>
    <t xml:space="preserve">BAUER, WILLIAM                </t>
  </si>
  <si>
    <t xml:space="preserve">1420 MOSHER ST                     </t>
  </si>
  <si>
    <t xml:space="preserve">JOHNSON, LAROYCE L            </t>
  </si>
  <si>
    <t xml:space="preserve">1414 MOSHER ST                     </t>
  </si>
  <si>
    <t xml:space="preserve">LAWS, ANTHONY D               </t>
  </si>
  <si>
    <t xml:space="preserve">1817 MOSHER ST                     </t>
  </si>
  <si>
    <t xml:space="preserve">HALL SR, LONNIE               </t>
  </si>
  <si>
    <t xml:space="preserve">1821 MOSHER ST                     </t>
  </si>
  <si>
    <t xml:space="preserve">UP IN COMING REALTY LLC       </t>
  </si>
  <si>
    <t xml:space="preserve">1412 MOSHER ST                     </t>
  </si>
  <si>
    <t xml:space="preserve">GRELA-MPOKO, BRUNO            </t>
  </si>
  <si>
    <t xml:space="preserve">1804 MOSHER ST                     </t>
  </si>
  <si>
    <t xml:space="preserve">MOORE ETAL, LETHA             </t>
  </si>
  <si>
    <t xml:space="preserve">1808 MOSHER ST                     </t>
  </si>
  <si>
    <t xml:space="preserve">JOHNSON, ADRIENNE M           </t>
  </si>
  <si>
    <t xml:space="preserve">1629 MOSHER ST                     </t>
  </si>
  <si>
    <t xml:space="preserve">CORBIN, RUBY CHAURICE         </t>
  </si>
  <si>
    <t xml:space="preserve">1605 MOSHER ST                     </t>
  </si>
  <si>
    <t xml:space="preserve">BEA GADDY FOUNDATION, INC.    </t>
  </si>
  <si>
    <t xml:space="preserve">1924 MOSHER ST                     </t>
  </si>
  <si>
    <t xml:space="preserve">GRIER, GEORGE A               </t>
  </si>
  <si>
    <t xml:space="preserve">1223 MOSHER ST                     </t>
  </si>
  <si>
    <t xml:space="preserve">OKAFOR, CLEMENT N             </t>
  </si>
  <si>
    <t xml:space="preserve">1219 MOSHER ST                     </t>
  </si>
  <si>
    <t xml:space="preserve">JENKINS, ELMER G              </t>
  </si>
  <si>
    <t xml:space="preserve">0809 N MOUNT ST                    </t>
  </si>
  <si>
    <t xml:space="preserve">ALM, OSCAR H                  </t>
  </si>
  <si>
    <t xml:space="preserve">0609 N MOUNT ST                    </t>
  </si>
  <si>
    <t xml:space="preserve">POPE, CHARLES                 </t>
  </si>
  <si>
    <t xml:space="preserve">0704 N MOUNT ST                    </t>
  </si>
  <si>
    <t xml:space="preserve">ELEGANT DWELLINGS, INC.       </t>
  </si>
  <si>
    <t xml:space="preserve">0941 N MOUNT ST                    </t>
  </si>
  <si>
    <t xml:space="preserve">1829 N MOUNT ST                    </t>
  </si>
  <si>
    <t xml:space="preserve">PETTIES, MICHELLE             </t>
  </si>
  <si>
    <t xml:space="preserve">1522 N MOUNT ST                    </t>
  </si>
  <si>
    <t xml:space="preserve">WATKINS, BERNARD              </t>
  </si>
  <si>
    <t xml:space="preserve">1506 N MOUNT ST                    </t>
  </si>
  <si>
    <t xml:space="preserve">BROWN, HILDA                  </t>
  </si>
  <si>
    <t xml:space="preserve">1139 N MOUNT ST                    </t>
  </si>
  <si>
    <t xml:space="preserve">ADLER, RITA                   </t>
  </si>
  <si>
    <t xml:space="preserve">0201 N MOUNT ST                    </t>
  </si>
  <si>
    <t xml:space="preserve">D.I.K., INC.                  </t>
  </si>
  <si>
    <t xml:space="preserve">0509 N MOUNT ST                    </t>
  </si>
  <si>
    <t xml:space="preserve">THEODOSIOU, MICHAEL J         </t>
  </si>
  <si>
    <t xml:space="preserve">0307 N MOUNT ST                    </t>
  </si>
  <si>
    <t xml:space="preserve">FLOYD, NATALIE L              </t>
  </si>
  <si>
    <t xml:space="preserve">0536 N MOUNT ST                    </t>
  </si>
  <si>
    <t xml:space="preserve">SAUNDERS, HERMAN L            </t>
  </si>
  <si>
    <t xml:space="preserve">0205 N MOUNT ST                    </t>
  </si>
  <si>
    <t xml:space="preserve">ALPHA OMEGA DEVELOPMENT       </t>
  </si>
  <si>
    <t xml:space="preserve">0207 N MOUNT ST                    </t>
  </si>
  <si>
    <t xml:space="preserve">0107 MOUNT CLARE ST                </t>
  </si>
  <si>
    <t xml:space="preserve">TILAHUN, NEGUSSIE             </t>
  </si>
  <si>
    <t xml:space="preserve">0224 MOUNT HOLLY ST                </t>
  </si>
  <si>
    <t xml:space="preserve">HARRIS, SEAN                  </t>
  </si>
  <si>
    <t xml:space="preserve">0217 MOUNT HOLLY ST                </t>
  </si>
  <si>
    <t xml:space="preserve">MCLENDON, KATHLEEN            </t>
  </si>
  <si>
    <t xml:space="preserve">2115 MOUNT HOLLY ST                </t>
  </si>
  <si>
    <t xml:space="preserve">WINCHESTER, CHIQUITA          </t>
  </si>
  <si>
    <t xml:space="preserve">0700 MOUNT HOLLY ST                </t>
  </si>
  <si>
    <t xml:space="preserve">WALLACE, MICHELLE             </t>
  </si>
  <si>
    <t xml:space="preserve">2866 W MULBERRY ST                 </t>
  </si>
  <si>
    <t xml:space="preserve">DAVIDSON, ESTHER ROSE         </t>
  </si>
  <si>
    <t xml:space="preserve">1511 W MULBERRY ST                 </t>
  </si>
  <si>
    <t xml:space="preserve">PROSPECTORS, INC.             </t>
  </si>
  <si>
    <t xml:space="preserve">1955 W MULBERRY ST                 </t>
  </si>
  <si>
    <t xml:space="preserve">MORTON, KILA                  </t>
  </si>
  <si>
    <t xml:space="preserve">1830 MULLIN ST                     </t>
  </si>
  <si>
    <t xml:space="preserve">1806 MULLIN ST                     </t>
  </si>
  <si>
    <t xml:space="preserve">HALL, RODGER                  </t>
  </si>
  <si>
    <t xml:space="preserve">1804 MULLIN ST                     </t>
  </si>
  <si>
    <t xml:space="preserve">SWIFT, WILLIAM C              </t>
  </si>
  <si>
    <t xml:space="preserve">1828 MULLIN ST                     </t>
  </si>
  <si>
    <t xml:space="preserve">1824 MULLIN ST                     </t>
  </si>
  <si>
    <t xml:space="preserve">1812 MULLIN ST                     </t>
  </si>
  <si>
    <t xml:space="preserve">GOOLSBY, JAMES                </t>
  </si>
  <si>
    <t xml:space="preserve">1810 MULLIN ST                     </t>
  </si>
  <si>
    <t xml:space="preserve">CHURCH OF THE LORD JESUS      </t>
  </si>
  <si>
    <t xml:space="preserve"> **NES ARMSTRONG AV 250 FT N OF RID</t>
  </si>
  <si>
    <t xml:space="preserve"> **NES ARMSTRONG AV 200 FT N OF RID</t>
  </si>
  <si>
    <t xml:space="preserve"> **NES ARMSTRONG AV 50 FT S OF RIDG</t>
  </si>
  <si>
    <t xml:space="preserve"> **NES ARMSTRONG AV 175 FT N OF RID</t>
  </si>
  <si>
    <t xml:space="preserve"> **NES ARMSTRONG AV 25 FT S OF RIDG</t>
  </si>
  <si>
    <t xml:space="preserve"> **NES ARMSTRONG AV NEC RIDGE AV   </t>
  </si>
  <si>
    <t xml:space="preserve">BRIGHTON DEVELOPMENT GROUP,   </t>
  </si>
  <si>
    <t xml:space="preserve"> **NES ARMSTRONG AVE SEC RIDGE AVE </t>
  </si>
  <si>
    <t>BRIGHTON DEVELOPMENT GROUP LLC</t>
  </si>
  <si>
    <t xml:space="preserve"> **NES BENHURST RD 110-1 SE TEMPLE </t>
  </si>
  <si>
    <t xml:space="preserve">BHS, LLC.                     </t>
  </si>
  <si>
    <t xml:space="preserve"> **NES CARSWELL ST 16 FT NW OF POLK</t>
  </si>
  <si>
    <t xml:space="preserve">MURPHY, EUGENE O.             </t>
  </si>
  <si>
    <t xml:space="preserve"> **NES CARSWELL ST 48 FT NW OF POLK</t>
  </si>
  <si>
    <t xml:space="preserve"> **NES MARX AVE 140-4 FT NW OF BELA</t>
  </si>
  <si>
    <t xml:space="preserve">SADEGHI, MEHRAN               </t>
  </si>
  <si>
    <t xml:space="preserve">C-3  </t>
  </si>
  <si>
    <t xml:space="preserve"> **NES ORLANDO AV 1059-6FT SE OF HA</t>
  </si>
  <si>
    <t xml:space="preserve">RYNARZEWSKI, BERNARD R.       </t>
  </si>
  <si>
    <t xml:space="preserve"> **NES 10 FT ALLEY 1ST NE OF CLIFTO</t>
  </si>
  <si>
    <t xml:space="preserve">COOPER, MILDRED A             </t>
  </si>
  <si>
    <t xml:space="preserve"> **NES 12 FT ALLEY 1ST NE OF ERDMAN</t>
  </si>
  <si>
    <t xml:space="preserve">HASKINS, RENITA               </t>
  </si>
  <si>
    <t xml:space="preserve"> **NES 15 FT ALLEY 1ST NE SEQUOIA A</t>
  </si>
  <si>
    <t xml:space="preserve">U.S. BANK TRUST, N.A.,TRUSTEE </t>
  </si>
  <si>
    <t xml:space="preserve">4122 NORFOLK AVE                   </t>
  </si>
  <si>
    <t xml:space="preserve">KELLEY, MABEL M               </t>
  </si>
  <si>
    <t xml:space="preserve">2900 NORFOLK AVE                   </t>
  </si>
  <si>
    <t xml:space="preserve">OVERVIEW PROPERTIES, LLC      </t>
  </si>
  <si>
    <t xml:space="preserve">4014 NORFOLK AVE                   </t>
  </si>
  <si>
    <t xml:space="preserve">JACKSON, SANDRA               </t>
  </si>
  <si>
    <t xml:space="preserve">1615 NORMAL AVE                    </t>
  </si>
  <si>
    <t xml:space="preserve">1621 NORMAL AVE                    </t>
  </si>
  <si>
    <t xml:space="preserve">NINE PROPERTIES, LLC          </t>
  </si>
  <si>
    <t xml:space="preserve">1643 NORMAL AVE                    </t>
  </si>
  <si>
    <t xml:space="preserve">MARTIN, LUCINDA M             </t>
  </si>
  <si>
    <t xml:space="preserve">1608 NORMAL AVE                    </t>
  </si>
  <si>
    <t xml:space="preserve">HURTT, WILLIAM M              </t>
  </si>
  <si>
    <t xml:space="preserve">0310 S NORRIS ST                   </t>
  </si>
  <si>
    <t xml:space="preserve">0015 N NORRIS ST                   </t>
  </si>
  <si>
    <t xml:space="preserve">TAYLOR, JOSEPH                </t>
  </si>
  <si>
    <t xml:space="preserve">0304 S NORRIS ST                   </t>
  </si>
  <si>
    <t xml:space="preserve">MONARCH DEVELOPMENT LLC       </t>
  </si>
  <si>
    <t xml:space="preserve">0300 S NORRIS ST                   </t>
  </si>
  <si>
    <t xml:space="preserve">0019 N NORRIS ST                   </t>
  </si>
  <si>
    <t xml:space="preserve">0017 N NORRIS ST                   </t>
  </si>
  <si>
    <t xml:space="preserve">0405 S NORRIS ST                   </t>
  </si>
  <si>
    <t xml:space="preserve">1221 W NORTH AVE                   </t>
  </si>
  <si>
    <t xml:space="preserve">MITCHELL, JOHNNY M            </t>
  </si>
  <si>
    <t xml:space="preserve">1273-1275 E NORTH AVE              </t>
  </si>
  <si>
    <t xml:space="preserve">LAMB, INC.                    </t>
  </si>
  <si>
    <t xml:space="preserve">1259 E NORTH AVE                   </t>
  </si>
  <si>
    <t xml:space="preserve">ARK CHURCH, INC.              </t>
  </si>
  <si>
    <t xml:space="preserve">1947 W NORTH AVE                   </t>
  </si>
  <si>
    <t>OR-1*</t>
  </si>
  <si>
    <t xml:space="preserve">2027 W NORTH AVE                   </t>
  </si>
  <si>
    <t xml:space="preserve">SUMMERS, DAJUAN M             </t>
  </si>
  <si>
    <t xml:space="preserve">2033 W NORTH AVE                   </t>
  </si>
  <si>
    <t>NORTH AVENUE REVELATION PROJEC</t>
  </si>
  <si>
    <t xml:space="preserve">1832 E NORTH AVE                   </t>
  </si>
  <si>
    <t xml:space="preserve">BARNER, SHIRLEY               </t>
  </si>
  <si>
    <t xml:space="preserve">1128 E NORTH AVE                   </t>
  </si>
  <si>
    <t xml:space="preserve">SMITH, IRMA B                 </t>
  </si>
  <si>
    <t xml:space="preserve">1842 W NORTH AVE                   </t>
  </si>
  <si>
    <t xml:space="preserve">KONA PROPERTIES, LLC          </t>
  </si>
  <si>
    <t xml:space="preserve">1812 W NORTH AVE                   </t>
  </si>
  <si>
    <t xml:space="preserve">MONTAQUE, CRASBIE             </t>
  </si>
  <si>
    <t xml:space="preserve">2339 W NORTH AVE                   </t>
  </si>
  <si>
    <t xml:space="preserve">DIVINE DEVELOPERS, LLC        </t>
  </si>
  <si>
    <t xml:space="preserve">2341 W NORTH AVE                   </t>
  </si>
  <si>
    <t xml:space="preserve">LEE, MARK                     </t>
  </si>
  <si>
    <t xml:space="preserve">2311 W NORTH AVE                   </t>
  </si>
  <si>
    <t xml:space="preserve">OQWO, CHINYERE L.             </t>
  </si>
  <si>
    <t xml:space="preserve">2203 W NORTH AVE                   </t>
  </si>
  <si>
    <t xml:space="preserve">HAYSBERT, MARY S              </t>
  </si>
  <si>
    <t xml:space="preserve">2315 W NORTH AVE                   </t>
  </si>
  <si>
    <t xml:space="preserve">DREK, LLC                     </t>
  </si>
  <si>
    <t xml:space="preserve">2785 W NORTH AVE                   </t>
  </si>
  <si>
    <t xml:space="preserve">MURRAY, WILLIAM O             </t>
  </si>
  <si>
    <t xml:space="preserve">2703 W NORTH AVE                   </t>
  </si>
  <si>
    <t xml:space="preserve">COPPIN HEIGHTS COMMUNITY      </t>
  </si>
  <si>
    <t xml:space="preserve">2707 W NORTH AVE                   </t>
  </si>
  <si>
    <t xml:space="preserve">0818 E NORTH AVE                   </t>
  </si>
  <si>
    <t xml:space="preserve">RVFM 11 SERIES, LLC           </t>
  </si>
  <si>
    <t xml:space="preserve">1738 W NORTH AVE                   </t>
  </si>
  <si>
    <t xml:space="preserve">BRYANT, FRANK                 </t>
  </si>
  <si>
    <t xml:space="preserve">1724 W NORTH AVE                   </t>
  </si>
  <si>
    <t xml:space="preserve">HERMAN L SAUNDERS &amp; WF        </t>
  </si>
  <si>
    <t xml:space="preserve">1350 W NORTH AVE                   </t>
  </si>
  <si>
    <t xml:space="preserve">COMIAN XII TAX LIEN FUND, LLC </t>
  </si>
  <si>
    <t xml:space="preserve">0700 E NORTH AVE                   </t>
  </si>
  <si>
    <t xml:space="preserve">5306 NORWOOD AVE                   </t>
  </si>
  <si>
    <t xml:space="preserve">AUSTIN REALTY LLC             </t>
  </si>
  <si>
    <t xml:space="preserve"> **NS E NORTH AV 184-3 FT W OF ST. </t>
  </si>
  <si>
    <t xml:space="preserve">10 E NORTH, LLC               </t>
  </si>
  <si>
    <t xml:space="preserve"> **NS E 33RD ST 215 FT EAST OF OLD </t>
  </si>
  <si>
    <t xml:space="preserve">EDWARDS, ROBERT               </t>
  </si>
  <si>
    <t xml:space="preserve"> **NS E 36TH ST 114 FT W OF OLD YOR</t>
  </si>
  <si>
    <t xml:space="preserve">DELIVERANCE CHURCH OF GOD     </t>
  </si>
  <si>
    <t xml:space="preserve"> **NS GROVELAND AV NEC N ROGERS AV </t>
  </si>
  <si>
    <t xml:space="preserve">HEARD, CLIFFORD               </t>
  </si>
  <si>
    <t xml:space="preserve"> **NS HOLLINS ST NEC WARWICK AV    </t>
  </si>
  <si>
    <t xml:space="preserve">PROMOTIONAL XPRESSIONS, LLC   </t>
  </si>
  <si>
    <t xml:space="preserve"> **NS MOSHER ST NEC WHITEMORE AV   </t>
  </si>
  <si>
    <t xml:space="preserve">SINCLAIR, RODNEY              </t>
  </si>
  <si>
    <t xml:space="preserve"> **NS MULLINS ST REAR 1322-30 N FUL</t>
  </si>
  <si>
    <t xml:space="preserve">TRUE FOUNDATION BAPTIST       </t>
  </si>
  <si>
    <t xml:space="preserve"> **NS W GARRISON AV 217-3 FT NE OF </t>
  </si>
  <si>
    <t xml:space="preserve">TATE, MICHAEL                 </t>
  </si>
  <si>
    <t xml:space="preserve"> **NS W PATAPSCO AV NWC PATAPSCO RI</t>
  </si>
  <si>
    <t xml:space="preserve">PATAPSCO EXCAVATING, INC.     </t>
  </si>
  <si>
    <t xml:space="preserve"> **NS WOODBOURNE AV 174-3 FT W OF N</t>
  </si>
  <si>
    <t xml:space="preserve">COOPER, ANN R                 </t>
  </si>
  <si>
    <t xml:space="preserve"> **NS 10 FT ALLEY N OF ROLLINS AVE </t>
  </si>
  <si>
    <t xml:space="preserve">LENON TAFT &amp; WF               </t>
  </si>
  <si>
    <t xml:space="preserve"> **NS 10 FT ALLEY 1ST N OF PRESBURY</t>
  </si>
  <si>
    <t xml:space="preserve"> **NS 10 FT ALLEY 1ST N OF FAIRMOUN</t>
  </si>
  <si>
    <t xml:space="preserve">BUNCH JR, DENNIS J.C.         </t>
  </si>
  <si>
    <t xml:space="preserve"> **NS 10 FT ALLEY 1ST S OF ORLEANS </t>
  </si>
  <si>
    <t xml:space="preserve">HARRIS, STANLEY LLOYD         </t>
  </si>
  <si>
    <t xml:space="preserve"> **NS 15 FT ALLEY 1ST E OF READY AV</t>
  </si>
  <si>
    <t xml:space="preserve">WITTEL, RICHARD A             </t>
  </si>
  <si>
    <t xml:space="preserve"> **NS 15 FT ALLEY 1ST N OF FEDERAL </t>
  </si>
  <si>
    <t xml:space="preserve">DESHAZO, VANNIE E             </t>
  </si>
  <si>
    <t xml:space="preserve"> **NS 16 FT ALLEY 1ST N OF DULANY S</t>
  </si>
  <si>
    <t xml:space="preserve">SHAW JR., FARRELL             </t>
  </si>
  <si>
    <t xml:space="preserve"> **NS 20 FT ALLEY 1ST N OF CLIFTON </t>
  </si>
  <si>
    <t xml:space="preserve">MCNEILL, WINFIELD L.          </t>
  </si>
  <si>
    <t xml:space="preserve"> **NS 20 FT LANE 1ST NE OF PICKWICK</t>
  </si>
  <si>
    <t xml:space="preserve">CALDWELL, SUSAN               </t>
  </si>
  <si>
    <t xml:space="preserve"> **NS 20FT ALLEY 1ST N OF W LANVALE</t>
  </si>
  <si>
    <t xml:space="preserve">MASSEY, RUTH                  </t>
  </si>
  <si>
    <t xml:space="preserve"> **NWS GLEN FALLS AV 616-11 FT SW O</t>
  </si>
  <si>
    <t xml:space="preserve">WRIGHT, DENNIS F.             </t>
  </si>
  <si>
    <t xml:space="preserve"> **NWS RIDGE AV 110 FT NE OF ARMSTR</t>
  </si>
  <si>
    <t xml:space="preserve"> **NWS WINTHROPE AV 787-6 FT N OF K</t>
  </si>
  <si>
    <t xml:space="preserve">FOSTER, VELVA                 </t>
  </si>
  <si>
    <t xml:space="preserve"> **NWS 10 FT ALLEY 1ST NW OF TIOGA </t>
  </si>
  <si>
    <t xml:space="preserve">QUILLE, TIARA A               </t>
  </si>
  <si>
    <t xml:space="preserve"> **NWS 10 FT ALLEY 1ST NW OF W BELV</t>
  </si>
  <si>
    <t xml:space="preserve">DOBBINS, JOHN                 </t>
  </si>
  <si>
    <t xml:space="preserve"> **NWS 15 FT ALLEY 1ST NW OF GWYNNS</t>
  </si>
  <si>
    <t xml:space="preserve">BYRD, AUGUSTUS D              </t>
  </si>
  <si>
    <t xml:space="preserve">4017 OAKFORD AVE                   </t>
  </si>
  <si>
    <t xml:space="preserve">4008 OAKFORD AVE                   </t>
  </si>
  <si>
    <t xml:space="preserve">3840 OAKFORD AVE                   </t>
  </si>
  <si>
    <t xml:space="preserve">OLOWOKAKOKO, MICHAEL          </t>
  </si>
  <si>
    <t xml:space="preserve">3029 OAKLEY AVE                    </t>
  </si>
  <si>
    <t xml:space="preserve">CANTY, STEPHANIE              </t>
  </si>
  <si>
    <t xml:space="preserve">2856 OAKLEY AVE                    </t>
  </si>
  <si>
    <t xml:space="preserve">ABIMBOLA, KOLAWOLE S.         </t>
  </si>
  <si>
    <t xml:space="preserve">3722-3724 OLD FREDERICK ROAD       </t>
  </si>
  <si>
    <t xml:space="preserve">ZULQURNAIN, MUHAMMAD M.       </t>
  </si>
  <si>
    <t xml:space="preserve">3507 OLD FREDERICK ROAD            </t>
  </si>
  <si>
    <t xml:space="preserve">3509 OLD FREDERICK ROAD            </t>
  </si>
  <si>
    <t xml:space="preserve">SADLER, ELAINE                </t>
  </si>
  <si>
    <t xml:space="preserve">3455 OLD FREDERICK ROAD            </t>
  </si>
  <si>
    <t xml:space="preserve">MORGAN, DUSTIN C.             </t>
  </si>
  <si>
    <t xml:space="preserve">3433 OLD FREDERICK ROAD            </t>
  </si>
  <si>
    <t xml:space="preserve">3503 GLEN AVE, LLC            </t>
  </si>
  <si>
    <t xml:space="preserve">3626 OLD FREDERICK ROAD            </t>
  </si>
  <si>
    <t>ANNIE MAE JENSON FOUNDATION, I</t>
  </si>
  <si>
    <t xml:space="preserve">4416 OLD YORK ROAD                 </t>
  </si>
  <si>
    <t xml:space="preserve">OCTOBER REALTY INC            </t>
  </si>
  <si>
    <t xml:space="preserve">2233 OREM AVE                      </t>
  </si>
  <si>
    <t xml:space="preserve">0136 PALORMO AVE                   </t>
  </si>
  <si>
    <t xml:space="preserve">HENDERSON, ANDRE LAMONT       </t>
  </si>
  <si>
    <t xml:space="preserve">3443 PARK HEIGHTS AVE              </t>
  </si>
  <si>
    <t xml:space="preserve">TAYLOR, ROBERT                </t>
  </si>
  <si>
    <t xml:space="preserve">3932 PARK HEIGHTS AVE              </t>
  </si>
  <si>
    <t xml:space="preserve">N10 BUSINESS TRUST            </t>
  </si>
  <si>
    <t xml:space="preserve">3731 PARK HEIGHTS AVE              </t>
  </si>
  <si>
    <t xml:space="preserve">WILLIAM J CLAY &amp; WF           </t>
  </si>
  <si>
    <t xml:space="preserve">3419 PARK HEIGHTS AVE              </t>
  </si>
  <si>
    <t xml:space="preserve">SMITH, SARAH LOUISE           </t>
  </si>
  <si>
    <t xml:space="preserve">3441 PARK HEIGHTS AVE              </t>
  </si>
  <si>
    <t xml:space="preserve">HALLOW'D HOUSE, LLC           </t>
  </si>
  <si>
    <t xml:space="preserve">3824 PARK HEIGHTS AVE              </t>
  </si>
  <si>
    <t xml:space="preserve">KIBRA CORPORATION             </t>
  </si>
  <si>
    <t xml:space="preserve">2611 PARK HEIGHTS TERR             </t>
  </si>
  <si>
    <t>FIRST NATIONAL DEVELOPMENT LLC</t>
  </si>
  <si>
    <t xml:space="preserve">0833 E PATAPSCO AVE                </t>
  </si>
  <si>
    <t xml:space="preserve">TASSIE, YEWONDWESSEN          </t>
  </si>
  <si>
    <t xml:space="preserve">0705 N PATTERSON PARK AVE          </t>
  </si>
  <si>
    <t xml:space="preserve">AFTEEBE INC                   </t>
  </si>
  <si>
    <t xml:space="preserve">0718 N PATTERSON PARK AVE          </t>
  </si>
  <si>
    <t xml:space="preserve">0803 N PATTERSON PARK AVE          </t>
  </si>
  <si>
    <t xml:space="preserve">SHIVER, SANDERS               </t>
  </si>
  <si>
    <t xml:space="preserve">0801 N PATTERSON PARK AVE          </t>
  </si>
  <si>
    <t xml:space="preserve">GODBOLT, JAMES L              </t>
  </si>
  <si>
    <t xml:space="preserve">2007 N PAYSON ST                   </t>
  </si>
  <si>
    <t xml:space="preserve">BROWN, LORRAINE               </t>
  </si>
  <si>
    <t xml:space="preserve">0640 S PAYSON ST                   </t>
  </si>
  <si>
    <t xml:space="preserve">ANDERSON, ROSEMARIE           </t>
  </si>
  <si>
    <t xml:space="preserve">0436 S PAYSON ST                   </t>
  </si>
  <si>
    <t xml:space="preserve">PRIDE, PAMELA                 </t>
  </si>
  <si>
    <t xml:space="preserve">0405 S PAYSON ST                   </t>
  </si>
  <si>
    <t xml:space="preserve">ABOU-TALEB, IBRAHIM           </t>
  </si>
  <si>
    <t xml:space="preserve">0421 S PAYSON ST                   </t>
  </si>
  <si>
    <t xml:space="preserve">URBAN INVESTORS AND PROPERTY  </t>
  </si>
  <si>
    <t xml:space="preserve">0820 N PAYSON ST                   </t>
  </si>
  <si>
    <t xml:space="preserve">ALUFA, OLUFEMI                </t>
  </si>
  <si>
    <t xml:space="preserve">0818 N PAYSON ST                   </t>
  </si>
  <si>
    <t xml:space="preserve">ROBERTS, GAYLA                </t>
  </si>
  <si>
    <t xml:space="preserve">0900 N PAYSON ST                   </t>
  </si>
  <si>
    <t xml:space="preserve">BOYKINS, EUGENE D             </t>
  </si>
  <si>
    <t xml:space="preserve">0823 N PAYSON ST                   </t>
  </si>
  <si>
    <t xml:space="preserve">JONES, DAVID                  </t>
  </si>
  <si>
    <t xml:space="preserve">1811 N PAYSON ST                   </t>
  </si>
  <si>
    <t xml:space="preserve">KELLY, ELIZABETH              </t>
  </si>
  <si>
    <t xml:space="preserve">1719 N PAYSON ST                   </t>
  </si>
  <si>
    <t xml:space="preserve">NOB HILL PROPERTIES, LLC      </t>
  </si>
  <si>
    <t xml:space="preserve">1509 N PAYSON ST                   </t>
  </si>
  <si>
    <t xml:space="preserve">WITHERS, CYNTHIA L            </t>
  </si>
  <si>
    <t xml:space="preserve">1505 N PAYSON ST                   </t>
  </si>
  <si>
    <t xml:space="preserve">BELLAMY JR., WILLIE H         </t>
  </si>
  <si>
    <t xml:space="preserve">1629 N PAYSON ST                   </t>
  </si>
  <si>
    <t xml:space="preserve">BROWN, ROSA M                 </t>
  </si>
  <si>
    <t xml:space="preserve">0216 S PAYSON ST                   </t>
  </si>
  <si>
    <t xml:space="preserve">0005 S PAYSON ST                   </t>
  </si>
  <si>
    <t>UNITED BRETHERN FOR CHRIST, IN</t>
  </si>
  <si>
    <t xml:space="preserve">0015 N PAYSON ST                   </t>
  </si>
  <si>
    <t xml:space="preserve">DOLES, MAGGIE                 </t>
  </si>
  <si>
    <t xml:space="preserve">0316 S PAYSON ST                   </t>
  </si>
  <si>
    <t xml:space="preserve">0130 N PAYSON ST                   </t>
  </si>
  <si>
    <t xml:space="preserve">CROMWELL, JERRY E             </t>
  </si>
  <si>
    <t xml:space="preserve">0714 N PAYSON ST                   </t>
  </si>
  <si>
    <t xml:space="preserve">RUIZ, DESI K.                 </t>
  </si>
  <si>
    <t xml:space="preserve">0601 N PAYSON ST                   </t>
  </si>
  <si>
    <t xml:space="preserve">SMITH, JAMES W                </t>
  </si>
  <si>
    <t xml:space="preserve">0719 N PAYSON ST                   </t>
  </si>
  <si>
    <t>3501 WEST MULBERRY STREET, LLC</t>
  </si>
  <si>
    <t xml:space="preserve">2613 PENNSYLVANIA AVE              </t>
  </si>
  <si>
    <t xml:space="preserve">ALLEN REALTY, INC.            </t>
  </si>
  <si>
    <t xml:space="preserve">2615 PENNSYLVANIA AVE              </t>
  </si>
  <si>
    <t xml:space="preserve">B.P. INVESTORS                </t>
  </si>
  <si>
    <t xml:space="preserve">2611 PENNSYLVANIA AVE              </t>
  </si>
  <si>
    <t xml:space="preserve">XYDAS, PETER S                </t>
  </si>
  <si>
    <t xml:space="preserve">2701 PENNSYLVANIA AVE              </t>
  </si>
  <si>
    <t xml:space="preserve">LONG, ROBERT                  </t>
  </si>
  <si>
    <t xml:space="preserve">2700 PENNSYLVANIA AVE              </t>
  </si>
  <si>
    <t xml:space="preserve">FENWICK, TERRANCE             </t>
  </si>
  <si>
    <t xml:space="preserve">2719 PENNSYLVANIA AVE              </t>
  </si>
  <si>
    <t xml:space="preserve">NEWTON, LEONIDAS G            </t>
  </si>
  <si>
    <t xml:space="preserve">1916 PENROSE AVE                   </t>
  </si>
  <si>
    <t xml:space="preserve">LEE JR, RONALD F.             </t>
  </si>
  <si>
    <t xml:space="preserve">1917 PENROSE AVE                   </t>
  </si>
  <si>
    <t xml:space="preserve">BROWN, MICHELLE               </t>
  </si>
  <si>
    <t xml:space="preserve">0410 POPLAR GROVE ST               </t>
  </si>
  <si>
    <t xml:space="preserve">HASSAN, ELHAG M.              </t>
  </si>
  <si>
    <t xml:space="preserve">1727 POPLAR GROVE ST               </t>
  </si>
  <si>
    <t xml:space="preserve">SMITH, DOROTHY                </t>
  </si>
  <si>
    <t xml:space="preserve">1125 POPLAR GROVE ST               </t>
  </si>
  <si>
    <t xml:space="preserve">CANN, JAMES                   </t>
  </si>
  <si>
    <t xml:space="preserve">1311 POPLAR GROVE ST               </t>
  </si>
  <si>
    <t xml:space="preserve">1314 POPLAR GROVE ST               </t>
  </si>
  <si>
    <t xml:space="preserve">PAIGE, DONTAY R               </t>
  </si>
  <si>
    <t xml:space="preserve">1112 POPLAR GROVE ST               </t>
  </si>
  <si>
    <t xml:space="preserve">EDGAR MATTHEWS &amp; WF           </t>
  </si>
  <si>
    <t xml:space="preserve">1706 POPLAR GROVE ST               </t>
  </si>
  <si>
    <t xml:space="preserve">EJB HOUSING LLP               </t>
  </si>
  <si>
    <t xml:space="preserve">1808 POPLAR GROVE ST               </t>
  </si>
  <si>
    <t xml:space="preserve">0622 POPLAR GROVE ST               </t>
  </si>
  <si>
    <t xml:space="preserve">HASSAN, ELHAG M               </t>
  </si>
  <si>
    <t xml:space="preserve">1303 N PORT ST                     </t>
  </si>
  <si>
    <t xml:space="preserve">HARGROVE, LARRY               </t>
  </si>
  <si>
    <t xml:space="preserve">1725 W PRATT ST                    </t>
  </si>
  <si>
    <t xml:space="preserve">MANN AND CO REALTY BROKERS    </t>
  </si>
  <si>
    <t xml:space="preserve">1831 W PRATT ST                    </t>
  </si>
  <si>
    <t xml:space="preserve">3201 PRESBURY ST                   </t>
  </si>
  <si>
    <t xml:space="preserve">YOUNG, NAOMI D                </t>
  </si>
  <si>
    <t xml:space="preserve">2702 PRESBURY ST                   </t>
  </si>
  <si>
    <t xml:space="preserve">DUNCAN, ANDRE                 </t>
  </si>
  <si>
    <t xml:space="preserve">2403 PRESBURY ST                   </t>
  </si>
  <si>
    <t xml:space="preserve">JONES, DAVID W.               </t>
  </si>
  <si>
    <t xml:space="preserve">2401 PRESBURY ST                   </t>
  </si>
  <si>
    <t xml:space="preserve">CARTER, DARRYLE A             </t>
  </si>
  <si>
    <t xml:space="preserve">2909 PRESSTMAN ST                  </t>
  </si>
  <si>
    <t xml:space="preserve">MC FADDEN, NEUNUTAE L.P.      </t>
  </si>
  <si>
    <t xml:space="preserve">1825 PRESSTMAN ST                  </t>
  </si>
  <si>
    <t xml:space="preserve">AWE, OLURANTI JACOB           </t>
  </si>
  <si>
    <t xml:space="preserve">1516 E PRESTON ST                  </t>
  </si>
  <si>
    <t xml:space="preserve">PRESTON COMMUNITY DEVELOPMENT </t>
  </si>
  <si>
    <t xml:space="preserve">5507 PRICE AVE                     </t>
  </si>
  <si>
    <t xml:space="preserve">MILLER, SR., SHELBY L.        </t>
  </si>
  <si>
    <t xml:space="preserve">2849 PROSPECT ST                   </t>
  </si>
  <si>
    <t xml:space="preserve">CARDWELL, MARK                </t>
  </si>
  <si>
    <t xml:space="preserve">2853 PROSPECT ST                   </t>
  </si>
  <si>
    <t xml:space="preserve">EMERALD BAY DEVELOPMENT GROUP </t>
  </si>
  <si>
    <t xml:space="preserve">2716 PROSPECT ST                   </t>
  </si>
  <si>
    <t xml:space="preserve">BALTIMORE-CLEVELAND           </t>
  </si>
  <si>
    <t xml:space="preserve">1822 N PULASKI ST                  </t>
  </si>
  <si>
    <t xml:space="preserve">1824 N PULASKI ST                  </t>
  </si>
  <si>
    <t xml:space="preserve">THOMAS, MINERVA               </t>
  </si>
  <si>
    <t xml:space="preserve">1927 N PULASKI ST                  </t>
  </si>
  <si>
    <t xml:space="preserve">BALDWIN TRUTEE, LEROY         </t>
  </si>
  <si>
    <t xml:space="preserve">2009 N PULASKI ST                  </t>
  </si>
  <si>
    <t xml:space="preserve">MICHAEL D D BROWN ETAL        </t>
  </si>
  <si>
    <t xml:space="preserve">1921 N PULASKI ST                  </t>
  </si>
  <si>
    <t xml:space="preserve">GUINDI, ALFRED                </t>
  </si>
  <si>
    <t xml:space="preserve">0407 S PULASKI ST                  </t>
  </si>
  <si>
    <t xml:space="preserve">0438 S PULASKI ST                  </t>
  </si>
  <si>
    <t xml:space="preserve">MULLEN, CHARLES F             </t>
  </si>
  <si>
    <t xml:space="preserve">0309 S PULASKI ST                  </t>
  </si>
  <si>
    <t xml:space="preserve">0044 S PULASKI ST                  </t>
  </si>
  <si>
    <t xml:space="preserve">WILSON, PHILLIP WALTER        </t>
  </si>
  <si>
    <t xml:space="preserve">0299 S PULASKI ST                  </t>
  </si>
  <si>
    <t xml:space="preserve">BOWSER, KIM J                 </t>
  </si>
  <si>
    <t xml:space="preserve">0326 N PULASKI ST                  </t>
  </si>
  <si>
    <t xml:space="preserve">MONROE JR., GEORGE E          </t>
  </si>
  <si>
    <t xml:space="preserve">0316 N PULASKI ST                  </t>
  </si>
  <si>
    <t xml:space="preserve">FARRELL, WALTER               </t>
  </si>
  <si>
    <t xml:space="preserve">0300 N PULASKI ST                  </t>
  </si>
  <si>
    <t xml:space="preserve">OMENYI, GRACE                 </t>
  </si>
  <si>
    <t xml:space="preserve">0515 N PULASKI ST                  </t>
  </si>
  <si>
    <t xml:space="preserve">DAWSON, RICHARD               </t>
  </si>
  <si>
    <t xml:space="preserve">0103 N PULASKI ST                  </t>
  </si>
  <si>
    <t xml:space="preserve">POOLE, LEOTHA                 </t>
  </si>
  <si>
    <t xml:space="preserve">0608 N PULASKI ST                  </t>
  </si>
  <si>
    <t xml:space="preserve">BASKERVILLE, GERTRUDE L       </t>
  </si>
  <si>
    <t xml:space="preserve">0624 N PULASKI ST                  </t>
  </si>
  <si>
    <t xml:space="preserve">LAW, BRENT                    </t>
  </si>
  <si>
    <t xml:space="preserve">0610 N PULASKI ST                  </t>
  </si>
  <si>
    <t xml:space="preserve">THOMAS, ERICK                 </t>
  </si>
  <si>
    <t xml:space="preserve">0719 N PULASKI ST                  </t>
  </si>
  <si>
    <t xml:space="preserve">M.N.E.A. LIMITED PARTNERSHIP  </t>
  </si>
  <si>
    <t xml:space="preserve">2618 QUANTICO AVE                  </t>
  </si>
  <si>
    <t xml:space="preserve">SHOWELL, JOSEPH M             </t>
  </si>
  <si>
    <t xml:space="preserve">5109 QUEENSBERRY AVE               </t>
  </si>
  <si>
    <t xml:space="preserve">JOHNSON, JOSEPHINE D          </t>
  </si>
  <si>
    <t xml:space="preserve">1810 RAMSAY ST                     </t>
  </si>
  <si>
    <t xml:space="preserve">FRANKS, DAN                   </t>
  </si>
  <si>
    <t xml:space="preserve">1722 RAMSAY ST                     </t>
  </si>
  <si>
    <t xml:space="preserve">GREEN, DENNIS                 </t>
  </si>
  <si>
    <t xml:space="preserve">1920 RAMSAY ST                     </t>
  </si>
  <si>
    <t xml:space="preserve">BANTON, COURTNERY G           </t>
  </si>
  <si>
    <t xml:space="preserve">1853 RAMSAY ST                     </t>
  </si>
  <si>
    <t xml:space="preserve">WEIBE JR, IRVIN G             </t>
  </si>
  <si>
    <t xml:space="preserve">1811 RAMSAY ST                     </t>
  </si>
  <si>
    <t xml:space="preserve">LUDWIG, SHIRLEY A             </t>
  </si>
  <si>
    <t xml:space="preserve">1927 RAMSAY ST                     </t>
  </si>
  <si>
    <t xml:space="preserve">DANKO, MICHAEL                </t>
  </si>
  <si>
    <t xml:space="preserve">1913 RAMSAY ST                     </t>
  </si>
  <si>
    <t xml:space="preserve">COLBERT, WILLIAM A.           </t>
  </si>
  <si>
    <t xml:space="preserve">3307 RAVENWOOD AVE                 </t>
  </si>
  <si>
    <t xml:space="preserve">HOME OPPORTUNITY LLC          </t>
  </si>
  <si>
    <t xml:space="preserve">2033 RAYNER AVE                    </t>
  </si>
  <si>
    <t xml:space="preserve">2005 RAYNER AVE                    </t>
  </si>
  <si>
    <t xml:space="preserve">SCOTT, PHILLIP                </t>
  </si>
  <si>
    <t xml:space="preserve">1800 RAYNER AVE                    </t>
  </si>
  <si>
    <t xml:space="preserve">GAMARCO S.A.                  </t>
  </si>
  <si>
    <t xml:space="preserve">2025 RAYNER AVE                    </t>
  </si>
  <si>
    <t xml:space="preserve">GRAHAM, DONCHEZ               </t>
  </si>
  <si>
    <t xml:space="preserve">2844 RAYNER AVE                    </t>
  </si>
  <si>
    <t xml:space="preserve">CADD, JAMES W                 </t>
  </si>
  <si>
    <t xml:space="preserve">2836 RAYNER AVE                    </t>
  </si>
  <si>
    <t xml:space="preserve">BARKSDALE, STEVEN W           </t>
  </si>
  <si>
    <t xml:space="preserve">2830 RAYNER AVE                    </t>
  </si>
  <si>
    <t xml:space="preserve">VALDEZ, EDUARDO E             </t>
  </si>
  <si>
    <t xml:space="preserve">2804 RAYNER AVE                    </t>
  </si>
  <si>
    <t xml:space="preserve">3013 RAYNER AVE                    </t>
  </si>
  <si>
    <t xml:space="preserve">LEON CARLTON &amp; WF             </t>
  </si>
  <si>
    <t xml:space="preserve">3001 RAYNER AVE                    </t>
  </si>
  <si>
    <t xml:space="preserve">MYLES, ROBERT I     (ETAL)    </t>
  </si>
  <si>
    <t xml:space="preserve">3022 RAYNER AVE                    </t>
  </si>
  <si>
    <t xml:space="preserve">HICKS, LINTON                 </t>
  </si>
  <si>
    <t xml:space="preserve">3010 RAYNER AVE                    </t>
  </si>
  <si>
    <t xml:space="preserve">JAMES CANN                    </t>
  </si>
  <si>
    <t xml:space="preserve"> **REAR NWS LEHMAN ST REAR 2652 LEH</t>
  </si>
  <si>
    <t xml:space="preserve">WHARRY, GLORIA H              </t>
  </si>
  <si>
    <t xml:space="preserve"> **REAR NWS SPRING AV REAR 4400 SPR</t>
  </si>
  <si>
    <t xml:space="preserve">BERGER, MELVIN                </t>
  </si>
  <si>
    <t xml:space="preserve"> **REAR SES OLYMPIA AV REAR 3309 OL</t>
  </si>
  <si>
    <t xml:space="preserve">PRESSMAN, NORMAN J            </t>
  </si>
  <si>
    <t xml:space="preserve">1714 N REGESTER ST                 </t>
  </si>
  <si>
    <t xml:space="preserve">SALV, ABAYOMI                 </t>
  </si>
  <si>
    <t xml:space="preserve">5229 REISTERSTOWN ROAD             </t>
  </si>
  <si>
    <t xml:space="preserve">WHYTE, BERTIE SYGURNEY        </t>
  </si>
  <si>
    <t xml:space="preserve">2267 REISTERSTOWN ROAD             </t>
  </si>
  <si>
    <t xml:space="preserve">POWELL-COOPER, VANESSA A      </t>
  </si>
  <si>
    <t xml:space="preserve">2414 REISTERSTOWN ROAD             </t>
  </si>
  <si>
    <t xml:space="preserve">AMAR, LEROY J                 </t>
  </si>
  <si>
    <t xml:space="preserve">4329 REISTERSTOWN ROAD             </t>
  </si>
  <si>
    <t xml:space="preserve">INTERDENOMINATIONAL           </t>
  </si>
  <si>
    <t xml:space="preserve">2309 REISTERSTOWN ROAD             </t>
  </si>
  <si>
    <t xml:space="preserve">COAXUM, TROY                  </t>
  </si>
  <si>
    <t xml:space="preserve">3839 REISTERSTOWN ROAD             </t>
  </si>
  <si>
    <t xml:space="preserve">ADEMILUYI, MICHAEL            </t>
  </si>
  <si>
    <t xml:space="preserve">2301 REISTERSTOWN ROAD             </t>
  </si>
  <si>
    <t xml:space="preserve">ATWATER, GREGORY A.           </t>
  </si>
  <si>
    <t xml:space="preserve">2305 REISTERSTOWN ROAD             </t>
  </si>
  <si>
    <t xml:space="preserve">AGRADA BOOKER                 </t>
  </si>
  <si>
    <t xml:space="preserve">4330 REISTERSTOWN ROAD             </t>
  </si>
  <si>
    <t xml:space="preserve">LARRY'S DODGE INC             </t>
  </si>
  <si>
    <t xml:space="preserve">1570 RICHLAND ST                   </t>
  </si>
  <si>
    <t xml:space="preserve">2115 RIDGEHILL AVE                 </t>
  </si>
  <si>
    <t xml:space="preserve">2127 RIDGEHILL AVE                 </t>
  </si>
  <si>
    <t xml:space="preserve">JONES, NASH                   </t>
  </si>
  <si>
    <t xml:space="preserve">1926 RIDGEHILL AVE                 </t>
  </si>
  <si>
    <t xml:space="preserve">BUILDING FOUNDATIONS INC.,    </t>
  </si>
  <si>
    <t xml:space="preserve">1917 RIDGEHILL AVE                 </t>
  </si>
  <si>
    <t xml:space="preserve">DOMINO MANAGEMENT, INC.       </t>
  </si>
  <si>
    <t xml:space="preserve">2020 RIDGEHILL AVE                 </t>
  </si>
  <si>
    <t xml:space="preserve">DIGGINS, CAROLYN H            </t>
  </si>
  <si>
    <t xml:space="preserve">1909 RIDGEHILL AVE                 </t>
  </si>
  <si>
    <t xml:space="preserve">WALKER, STERLING              </t>
  </si>
  <si>
    <t xml:space="preserve">1920 RIDGEHILL AVE                 </t>
  </si>
  <si>
    <t xml:space="preserve">1924 RIDGEHILL AVE                 </t>
  </si>
  <si>
    <t xml:space="preserve">1910 RIDGEHILL AVE                 </t>
  </si>
  <si>
    <t xml:space="preserve">BUILDING FOUNDATIONS INC      </t>
  </si>
  <si>
    <t xml:space="preserve">1931 RIDGEHILL AVE                 </t>
  </si>
  <si>
    <t xml:space="preserve">2926 RIDGEWOOD AVE                 </t>
  </si>
  <si>
    <t xml:space="preserve">KELLY JR, JEROME              </t>
  </si>
  <si>
    <t>TOD-2</t>
  </si>
  <si>
    <t xml:space="preserve">3923 RIDGEWOOD AVE                 </t>
  </si>
  <si>
    <t xml:space="preserve">WALLACE, LARRY                </t>
  </si>
  <si>
    <t xml:space="preserve">3915 RIDGEWOOD AVE                 </t>
  </si>
  <si>
    <t xml:space="preserve">SMITH, MARGO C.               </t>
  </si>
  <si>
    <t xml:space="preserve">2836 RIGGS AVE                     </t>
  </si>
  <si>
    <t xml:space="preserve">CHEEKS, OLLIE M               </t>
  </si>
  <si>
    <t xml:space="preserve">2713 RIGGS AVE                     </t>
  </si>
  <si>
    <t xml:space="preserve">ROSE PARK PROPERTIES, LLC     </t>
  </si>
  <si>
    <t xml:space="preserve">2513 RIGGS AVE                     </t>
  </si>
  <si>
    <t xml:space="preserve">GUESS, JULIUS E               </t>
  </si>
  <si>
    <t xml:space="preserve">1938 RIGGS AVE                     </t>
  </si>
  <si>
    <t xml:space="preserve">MARYLAND LIBERTY HOMES, LLC   </t>
  </si>
  <si>
    <t xml:space="preserve">1615 RIGGS AVE                     </t>
  </si>
  <si>
    <t xml:space="preserve">SMITH, KENNETH                </t>
  </si>
  <si>
    <t xml:space="preserve">1609 RIGGS AVE                     </t>
  </si>
  <si>
    <t xml:space="preserve">GREENWICH PROPERTIES, LLC.    </t>
  </si>
  <si>
    <t xml:space="preserve">1816 RIGGS AVE                     </t>
  </si>
  <si>
    <t xml:space="preserve">WILLARD AVENUE, LLC           </t>
  </si>
  <si>
    <t xml:space="preserve">1108 RIGGS AVE                     </t>
  </si>
  <si>
    <t xml:space="preserve">COLLINS, WHEELER              </t>
  </si>
  <si>
    <t xml:space="preserve">1118 RIGGS AVE                     </t>
  </si>
  <si>
    <t xml:space="preserve">FRANKLIN, HAZEL C             </t>
  </si>
  <si>
    <t xml:space="preserve">1708 RIGGS AVE                     </t>
  </si>
  <si>
    <t xml:space="preserve">BINNS, ROBERT                 </t>
  </si>
  <si>
    <t xml:space="preserve">2032 ROBB ST                       </t>
  </si>
  <si>
    <t xml:space="preserve">2010 ROBB ST                       </t>
  </si>
  <si>
    <t xml:space="preserve">2620 ROBB ST                       </t>
  </si>
  <si>
    <t xml:space="preserve">ESTATE OF BARBARA ANN RAY     </t>
  </si>
  <si>
    <t xml:space="preserve">2636 ROBB ST                       </t>
  </si>
  <si>
    <t xml:space="preserve">MOSBY, GARRETT                </t>
  </si>
  <si>
    <t xml:space="preserve">2634 ROBB ST                       </t>
  </si>
  <si>
    <t xml:space="preserve">CAIN JR, JAMES R              </t>
  </si>
  <si>
    <t xml:space="preserve">0428 ROBERT ST                     </t>
  </si>
  <si>
    <t xml:space="preserve">HOLSEY, JOSEPH                </t>
  </si>
  <si>
    <t xml:space="preserve">0321 N ROBINSON ST                 </t>
  </si>
  <si>
    <t xml:space="preserve">WILLIAMS, WANDA L             </t>
  </si>
  <si>
    <t xml:space="preserve">0414 N ROSE ST                     </t>
  </si>
  <si>
    <t xml:space="preserve">RIVAS, JOSE                   </t>
  </si>
  <si>
    <t xml:space="preserve">0615 N ROSE ST                     </t>
  </si>
  <si>
    <t xml:space="preserve">COOPER, TOBY                  </t>
  </si>
  <si>
    <t xml:space="preserve">0627 N ROSE ST                     </t>
  </si>
  <si>
    <t xml:space="preserve">627 N. ROSE ST., LLC          </t>
  </si>
  <si>
    <t xml:space="preserve">0621 N ROSE ST                     </t>
  </si>
  <si>
    <t xml:space="preserve">1401 N ROSE ST                     </t>
  </si>
  <si>
    <t xml:space="preserve">NEW DAVID BAPTIST CHURCH OF   </t>
  </si>
  <si>
    <t xml:space="preserve">0959 N ROSEDALE ST                 </t>
  </si>
  <si>
    <t xml:space="preserve">BRAILFORD, BARBARA            </t>
  </si>
  <si>
    <t xml:space="preserve">0949 N ROSEDALE ST                 </t>
  </si>
  <si>
    <t xml:space="preserve">SHORTER SR, KEVIN             </t>
  </si>
  <si>
    <t xml:space="preserve">1619 N ROSEDALE ST                 </t>
  </si>
  <si>
    <t xml:space="preserve">0639 N ROSEDALE ST                 </t>
  </si>
  <si>
    <t xml:space="preserve">JCI CONSTRUCTION, LLC         </t>
  </si>
  <si>
    <t xml:space="preserve">0633 N ROSEDALE ST                 </t>
  </si>
  <si>
    <t xml:space="preserve">JOSE MEJIA &amp; WF               </t>
  </si>
  <si>
    <t xml:space="preserve">2617 ROSEWOOD AVE                  </t>
  </si>
  <si>
    <t xml:space="preserve">2621 ROSEWOOD AVE                  </t>
  </si>
  <si>
    <t xml:space="preserve">0439 ROUNDVIEW ROAD                </t>
  </si>
  <si>
    <t xml:space="preserve">ORR, EUGENE                   </t>
  </si>
  <si>
    <t xml:space="preserve">0466 ROUNDVIEW ROAD                </t>
  </si>
  <si>
    <t xml:space="preserve">EDSEL J BROOKS &amp; WF           </t>
  </si>
  <si>
    <t xml:space="preserve">0433 ROUNDVIEW ROAD                </t>
  </si>
  <si>
    <t xml:space="preserve">BURRELL, JAMES                </t>
  </si>
  <si>
    <t xml:space="preserve">3326 SAINT AMBROSE AVE             </t>
  </si>
  <si>
    <t xml:space="preserve">WILLIAMS, SEARLEY             </t>
  </si>
  <si>
    <t xml:space="preserve">0634 SAINT ANNS AVE                </t>
  </si>
  <si>
    <t xml:space="preserve">J.A.M. #32 CORPORATION        </t>
  </si>
  <si>
    <t xml:space="preserve">0632 SAINT ANNS AVE                </t>
  </si>
  <si>
    <t xml:space="preserve">TRACEY, SARAH                 </t>
  </si>
  <si>
    <t xml:space="preserve">0619 SAINT ANNS AVE                </t>
  </si>
  <si>
    <t xml:space="preserve">WALKER, CHARLES               </t>
  </si>
  <si>
    <t xml:space="preserve">0629 SAINT ANNS AVE                </t>
  </si>
  <si>
    <t xml:space="preserve">SALAH-EDDINE, ALI             </t>
  </si>
  <si>
    <t xml:space="preserve">0637 SAINT ANNS AVE                </t>
  </si>
  <si>
    <t xml:space="preserve">0639 SAINT ANNS AVE                </t>
  </si>
  <si>
    <t xml:space="preserve">GEORGE, HAYDEN                </t>
  </si>
  <si>
    <t xml:space="preserve">0624 SAINT ANNS AVE                </t>
  </si>
  <si>
    <t xml:space="preserve">PRICE, BOBBIE L               </t>
  </si>
  <si>
    <t xml:space="preserve">0615 SAINT ANNS AVE                </t>
  </si>
  <si>
    <t xml:space="preserve">WALKER, JOSEPH H              </t>
  </si>
  <si>
    <t xml:space="preserve">0617 SAINT ANNS AVE                </t>
  </si>
  <si>
    <t xml:space="preserve">RENCO REALTY, INC.            </t>
  </si>
  <si>
    <t xml:space="preserve">2673 SAINT BENEDICT ST             </t>
  </si>
  <si>
    <t xml:space="preserve">SMITH JR., MARK J.            </t>
  </si>
  <si>
    <t xml:space="preserve">5233 SAINT CHARLES AVE             </t>
  </si>
  <si>
    <t xml:space="preserve">D&amp;E DEVELOPMENT CORPORATION   </t>
  </si>
  <si>
    <t xml:space="preserve">5235 SAINT CHARLES AVE             </t>
  </si>
  <si>
    <t xml:space="preserve">BALTIMORE SHELTER             </t>
  </si>
  <si>
    <t xml:space="preserve">3723 SAINT MARGARET ST             </t>
  </si>
  <si>
    <t xml:space="preserve">HOUSE, EDWARD JAMES           </t>
  </si>
  <si>
    <t xml:space="preserve">3605 SAINT MARGARET ST             </t>
  </si>
  <si>
    <t xml:space="preserve">LICHAROWICZ. DANIEL A         </t>
  </si>
  <si>
    <t xml:space="preserve">2021 SAINT PAUL ST                 </t>
  </si>
  <si>
    <t xml:space="preserve">BLACK STAR VENTURES LLLP      </t>
  </si>
  <si>
    <t xml:space="preserve">2023 SAINT PAUL ST                 </t>
  </si>
  <si>
    <t xml:space="preserve">BLACK STAR VENTURES, LLLP     </t>
  </si>
  <si>
    <t xml:space="preserve">2027 SAINT PAUL ST                 </t>
  </si>
  <si>
    <t xml:space="preserve">2027 ST. PAUL, LLC            </t>
  </si>
  <si>
    <t xml:space="preserve">2025 SAINT PAUL ST                 </t>
  </si>
  <si>
    <t xml:space="preserve">3731 SAINT VICTOR ST               </t>
  </si>
  <si>
    <t xml:space="preserve">SNYDER, ROBERT C.             </t>
  </si>
  <si>
    <t xml:space="preserve">0543 SANFORD PL                    </t>
  </si>
  <si>
    <t xml:space="preserve">LANPA, LLC                    </t>
  </si>
  <si>
    <t xml:space="preserve">1800 W SARATOGA ST                 </t>
  </si>
  <si>
    <t xml:space="preserve">LYLES, JERELEAN M             </t>
  </si>
  <si>
    <t xml:space="preserve">3700 W SARATOGA ST                 </t>
  </si>
  <si>
    <t xml:space="preserve">MARTIN, DONALD W K            </t>
  </si>
  <si>
    <t xml:space="preserve">0645 N SCHROEDER ST                </t>
  </si>
  <si>
    <t xml:space="preserve">JA DINA INVESTMENTS LLC       </t>
  </si>
  <si>
    <t xml:space="preserve"> **SES ASHTON ST 238 FT E OF MILLIN</t>
  </si>
  <si>
    <t xml:space="preserve"> **SES BELAIR RD 151-11NE VONDERHOR</t>
  </si>
  <si>
    <t xml:space="preserve">SSC MANAGEMENT CORPORATION    </t>
  </si>
  <si>
    <t xml:space="preserve"> **SES BELAIR RD SEC ROSE ST       </t>
  </si>
  <si>
    <t xml:space="preserve"> **SES HILL ST 135'S WINDER ST     </t>
  </si>
  <si>
    <t xml:space="preserve">FRANKLINTOWN DEVELOPMENT, LLC </t>
  </si>
  <si>
    <t xml:space="preserve"> **SES VINEWOOD PL 200' S OVERCREST</t>
  </si>
  <si>
    <t xml:space="preserve">SHEARIN, JOHN E               </t>
  </si>
  <si>
    <t xml:space="preserve"> **SES 10 FT ALLEY 1ST SE OF RICHMO</t>
  </si>
  <si>
    <t xml:space="preserve">NEW VIEW CONSTRUCTION, LLC    </t>
  </si>
  <si>
    <t xml:space="preserve"> **SES 10 FT ALLEY 1ST SE OF PHELPS</t>
  </si>
  <si>
    <t xml:space="preserve">FLEMING, CALVIN R             </t>
  </si>
  <si>
    <t xml:space="preserve"> **SES 15 FT ALLEY 1ST E OF WABASH </t>
  </si>
  <si>
    <t xml:space="preserve">BAILEY, BRADLEY OGDEN         </t>
  </si>
  <si>
    <t xml:space="preserve"> **SES 15' ALLEY 1ST SE PARKLAWN AV</t>
  </si>
  <si>
    <t xml:space="preserve">PITT, HERMAN V                </t>
  </si>
  <si>
    <t xml:space="preserve"> **SES 16 FT ALLEY 1ST N OF GLENMOR</t>
  </si>
  <si>
    <t xml:space="preserve">JJ ROYSTON, LLC               </t>
  </si>
  <si>
    <t xml:space="preserve"> **SES 18 FT ALLEY 1ST W OF AIKEN S</t>
  </si>
  <si>
    <t xml:space="preserve">MEHTA, ATAM SINGH             </t>
  </si>
  <si>
    <t xml:space="preserve"> **SES 20 FT ALLEY 1ST SE OF WOODHA</t>
  </si>
  <si>
    <t xml:space="preserve">PAYTON, EDGAR                 </t>
  </si>
  <si>
    <t xml:space="preserve">1606 SEXTON ST                     </t>
  </si>
  <si>
    <t xml:space="preserve">W CARD BUILDING AND           </t>
  </si>
  <si>
    <t xml:space="preserve">4300 SHANNON DR                    </t>
  </si>
  <si>
    <t xml:space="preserve">JONES SR., PLESS B.           </t>
  </si>
  <si>
    <t xml:space="preserve">0524 SHERIDAN AVE                  </t>
  </si>
  <si>
    <t xml:space="preserve">MORRIS ETAL, ADINA M          </t>
  </si>
  <si>
    <t xml:space="preserve">2460 SINCLAIR LANE                 </t>
  </si>
  <si>
    <t>P&amp;L COMMERCIAL PROPERTIES, LLC</t>
  </si>
  <si>
    <t xml:space="preserve">C-4  </t>
  </si>
  <si>
    <t xml:space="preserve">2101 SINCLAIR LANE                 </t>
  </si>
  <si>
    <t xml:space="preserve">FRANCIS, WILLIAM P            </t>
  </si>
  <si>
    <t xml:space="preserve">2102 N SMALLWOOD ST                </t>
  </si>
  <si>
    <t xml:space="preserve">ANDERSON, MARILYN E           </t>
  </si>
  <si>
    <t xml:space="preserve">2120 N SMALLWOOD ST                </t>
  </si>
  <si>
    <t xml:space="preserve">BURRELL, IRIS                 </t>
  </si>
  <si>
    <t xml:space="preserve">2122 N SMALLWOOD ST                </t>
  </si>
  <si>
    <t xml:space="preserve">TOYER, MICAH E.               </t>
  </si>
  <si>
    <t xml:space="preserve">0609 S SMALLWOOD ST                </t>
  </si>
  <si>
    <t xml:space="preserve">0610 S SMALLWOOD ST                </t>
  </si>
  <si>
    <t xml:space="preserve">LAMPADO INVESTMENTS, LLC      </t>
  </si>
  <si>
    <t xml:space="preserve">0601 S SMALLWOOD ST                </t>
  </si>
  <si>
    <t xml:space="preserve">CAESAR, WILLIAM F.            </t>
  </si>
  <si>
    <t xml:space="preserve">0110 N SMALLWOOD ST                </t>
  </si>
  <si>
    <t xml:space="preserve">DONNER, LLC                   </t>
  </si>
  <si>
    <t xml:space="preserve">0417 S SMALLWOOD ST                </t>
  </si>
  <si>
    <t xml:space="preserve">AMOS, TAWANDA E               </t>
  </si>
  <si>
    <t xml:space="preserve">0415 S SMALLWOOD ST                </t>
  </si>
  <si>
    <t xml:space="preserve">COLLINS JR, WILLIAM H         </t>
  </si>
  <si>
    <t xml:space="preserve">0405 S SMALLWOOD ST                </t>
  </si>
  <si>
    <t xml:space="preserve">0532 S SMALLWOOD ST                </t>
  </si>
  <si>
    <t xml:space="preserve">BELLAMY, CUTTERS    (LIFE)    </t>
  </si>
  <si>
    <t xml:space="preserve">0522 S SMALLWOOD ST                </t>
  </si>
  <si>
    <t xml:space="preserve">HORN JR, CHARLES N            </t>
  </si>
  <si>
    <t xml:space="preserve">0502 S SMALLWOOD ST                </t>
  </si>
  <si>
    <t xml:space="preserve">MILLER, VELINDA A.            </t>
  </si>
  <si>
    <t xml:space="preserve">0011 S SMALLWOOD ST                </t>
  </si>
  <si>
    <t xml:space="preserve">MUSY, ARNAUD                  </t>
  </si>
  <si>
    <t xml:space="preserve">0428 S SMALLWOOD ST                </t>
  </si>
  <si>
    <t xml:space="preserve">SINGH, AVTAR                  </t>
  </si>
  <si>
    <t xml:space="preserve">1637 N SPRING ST                   </t>
  </si>
  <si>
    <t xml:space="preserve">WISE, MYRON                   </t>
  </si>
  <si>
    <t xml:space="preserve">0022 S SPRING ST                   </t>
  </si>
  <si>
    <t xml:space="preserve">FIRST APOSTOLIC FAITH         </t>
  </si>
  <si>
    <t xml:space="preserve">0016 S SPRING ST                   </t>
  </si>
  <si>
    <t xml:space="preserve">0028 S SPRING ST                   </t>
  </si>
  <si>
    <t xml:space="preserve">0014 S SPRING ST                   </t>
  </si>
  <si>
    <t xml:space="preserve">0026 S SPRING ST                   </t>
  </si>
  <si>
    <t xml:space="preserve">0027 N SPRING ST                   </t>
  </si>
  <si>
    <t xml:space="preserve">0030 S SPRING ST                   </t>
  </si>
  <si>
    <t xml:space="preserve">0024 S SPRING ST                   </t>
  </si>
  <si>
    <t xml:space="preserve">0702 SPRINGFIELD AVE               </t>
  </si>
  <si>
    <t xml:space="preserve">NICHOLSON, PALMER             </t>
  </si>
  <si>
    <t xml:space="preserve">0926 SPRINGFIELD AVE               </t>
  </si>
  <si>
    <t xml:space="preserve">MCLENDON, ZENOBIA             </t>
  </si>
  <si>
    <t xml:space="preserve">2909 SPRINGHILL AVE                </t>
  </si>
  <si>
    <t xml:space="preserve">WILLARD, DAVID A.             </t>
  </si>
  <si>
    <t xml:space="preserve">2911 SPRINGHILL AVE                </t>
  </si>
  <si>
    <t xml:space="preserve">SMITH, EDWARD                 </t>
  </si>
  <si>
    <t xml:space="preserve"> **SS ELMTREE ST 180 FT W OF FAIRHA</t>
  </si>
  <si>
    <t xml:space="preserve">SHERIFF, MARKI T              </t>
  </si>
  <si>
    <t xml:space="preserve"> **SS FLEET ST 100 FT E OF TOLNA ST</t>
  </si>
  <si>
    <t xml:space="preserve">ANGELAKIS, EUGENIA            </t>
  </si>
  <si>
    <t xml:space="preserve"> **SS HAZELWOOD AV 425 FT E OF WHIT</t>
  </si>
  <si>
    <t xml:space="preserve">BROCK-SIMMONS, REGINA L       </t>
  </si>
  <si>
    <t xml:space="preserve"> **SS MCCABE AV 343-7 FT W OF MIDWO</t>
  </si>
  <si>
    <t xml:space="preserve">BENNETT SR., DAVID E          </t>
  </si>
  <si>
    <t xml:space="preserve"> **SS OF E. PRESTON ST. SEC OF WILC</t>
  </si>
  <si>
    <t xml:space="preserve">HAC/ENTERPRISE NEHEMIAH       </t>
  </si>
  <si>
    <t xml:space="preserve"> **SS 10 FT ALLEY 2ND N OF LAFAYETT</t>
  </si>
  <si>
    <t xml:space="preserve">STEWART, GEORGE E             </t>
  </si>
  <si>
    <t xml:space="preserve"> **SS 10FT AL 1ST S OF W NORTH AVE </t>
  </si>
  <si>
    <t xml:space="preserve">RUSS, JOSEPH L                </t>
  </si>
  <si>
    <t xml:space="preserve"> **SS 12 FT ALLEY 1ST S OF E COLD S</t>
  </si>
  <si>
    <t xml:space="preserve">NEEDUM, JAMES E               </t>
  </si>
  <si>
    <t xml:space="preserve"> **SS 15 FT ALLEY 1ST S CROFTON RD </t>
  </si>
  <si>
    <t xml:space="preserve">NORCROFT WOMEN'S CLUB INC     </t>
  </si>
  <si>
    <t xml:space="preserve"> **SS 15 FT ALLEY 2ND N OF WINDSOR </t>
  </si>
  <si>
    <t xml:space="preserve">WINN-ROSE ASSOCIATES          </t>
  </si>
  <si>
    <t xml:space="preserve"> **SS 15 FT ALLEY 1ST N OF EDMONDSO</t>
  </si>
  <si>
    <t xml:space="preserve">SPARROW, WAYNE H.             </t>
  </si>
  <si>
    <t xml:space="preserve"> **SS 15 FT ALLEY 1ST S OF MOSHER S</t>
  </si>
  <si>
    <t xml:space="preserve">BEAMAN, RUSH L                </t>
  </si>
  <si>
    <t xml:space="preserve"> **SS 15 FT ALLEY 1ST S OFEDGECOMBE</t>
  </si>
  <si>
    <t xml:space="preserve">NEXT STEP, INC.               </t>
  </si>
  <si>
    <t xml:space="preserve"> **SS 20 FT ALLEY 1ST S GWYNNS FALL</t>
  </si>
  <si>
    <t xml:space="preserve">WHISPERTELL O CLARK           </t>
  </si>
  <si>
    <t xml:space="preserve"> **SS 20 FT ALLEY 1ST S OF GWYNNS F</t>
  </si>
  <si>
    <t xml:space="preserve">DAVIS, WENDELL L              </t>
  </si>
  <si>
    <t xml:space="preserve">3134 STAFFORD ST                   </t>
  </si>
  <si>
    <t xml:space="preserve">WITHERSPOON, VERTELLE         </t>
  </si>
  <si>
    <t xml:space="preserve">0333 STINSON ST                    </t>
  </si>
  <si>
    <t xml:space="preserve">JOHNSON, LLOYD                </t>
  </si>
  <si>
    <t xml:space="preserve">0325 STINSON ST                    </t>
  </si>
  <si>
    <t>INNER CITY DEVELOPMENT COMPANY</t>
  </si>
  <si>
    <t xml:space="preserve">0340 STINSON ST                    </t>
  </si>
  <si>
    <t xml:space="preserve">NICHOLS, GENE                 </t>
  </si>
  <si>
    <t xml:space="preserve">0332 STINSON ST                    </t>
  </si>
  <si>
    <t xml:space="preserve">WASHINGTON, CORNELIUS B       </t>
  </si>
  <si>
    <t xml:space="preserve">0812 STOLL ST                      </t>
  </si>
  <si>
    <t xml:space="preserve">HERNANEZ, FIDEL ANGEL JURADO  </t>
  </si>
  <si>
    <t xml:space="preserve">0821 STOLL ST                      </t>
  </si>
  <si>
    <t xml:space="preserve">ABRAM, SHEILA                 </t>
  </si>
  <si>
    <t xml:space="preserve">0626 N STREEPER ST                 </t>
  </si>
  <si>
    <t xml:space="preserve">CALISTA PROPERTIES, LLC       </t>
  </si>
  <si>
    <t xml:space="preserve">1115 N STRICKER ST                 </t>
  </si>
  <si>
    <t xml:space="preserve">STOKES JR., WALTER E          </t>
  </si>
  <si>
    <t xml:space="preserve">0329 S STRICKER ST                 </t>
  </si>
  <si>
    <t xml:space="preserve">SHEFFIELD, DAVID              </t>
  </si>
  <si>
    <t xml:space="preserve">0308 N STRICKER ST                 </t>
  </si>
  <si>
    <t xml:space="preserve">STORY, JAMES                  </t>
  </si>
  <si>
    <t xml:space="preserve">0316 N STRICKER ST                 </t>
  </si>
  <si>
    <t xml:space="preserve">BUDDY REALTY CO., INC.        </t>
  </si>
  <si>
    <t xml:space="preserve">0104 N STRICKER ST                 </t>
  </si>
  <si>
    <t xml:space="preserve">HOGARTH, ALBERT R             </t>
  </si>
  <si>
    <t xml:space="preserve">0341 N STRICKER ST                 </t>
  </si>
  <si>
    <t xml:space="preserve">COOMBS, LORIAN                </t>
  </si>
  <si>
    <t xml:space="preserve">0500 N STRICKER ST                 </t>
  </si>
  <si>
    <t xml:space="preserve">HARLEM RESTORATION GROUP,     </t>
  </si>
  <si>
    <t xml:space="preserve">0106 N STRICKER ST                 </t>
  </si>
  <si>
    <t xml:space="preserve">POOLE, ALBERT L               </t>
  </si>
  <si>
    <t xml:space="preserve">0806 N STRICKER ST                 </t>
  </si>
  <si>
    <t xml:space="preserve">STUART REALTY CORPORATION     </t>
  </si>
  <si>
    <t xml:space="preserve">3328-3330 STRICKLAND ST            </t>
  </si>
  <si>
    <t xml:space="preserve">3049 STRICKLAND ST                 </t>
  </si>
  <si>
    <t xml:space="preserve">GRAY SR., JEFFREY L.          </t>
  </si>
  <si>
    <t xml:space="preserve">3346 STRICKLAND ST                 </t>
  </si>
  <si>
    <t xml:space="preserve">SWAYNE, GERALD E.             </t>
  </si>
  <si>
    <t xml:space="preserve">3040 STRICKLAND ST                 </t>
  </si>
  <si>
    <t xml:space="preserve">FENNER, TRACY                 </t>
  </si>
  <si>
    <t xml:space="preserve">3063 STRICKLAND ST                 </t>
  </si>
  <si>
    <t xml:space="preserve">COLCLOUGH, ANN P  (LIFE)      </t>
  </si>
  <si>
    <t xml:space="preserve"> **SWS ARMSTRONG AV 225 FT S OF SPR</t>
  </si>
  <si>
    <t xml:space="preserve"> **SWS ARMSTRONG AV 125 FT S OF SPR</t>
  </si>
  <si>
    <t xml:space="preserve"> **SWS ARMSTRONG AV 250 FT S OF SPR</t>
  </si>
  <si>
    <t xml:space="preserve"> **SWS ARMSTRONG AV 275 FT S OF SPR</t>
  </si>
  <si>
    <t xml:space="preserve"> **SWS CLIFTVIEW AV 42 FT SE OF SHE</t>
  </si>
  <si>
    <t xml:space="preserve">ST. LUKE HOLINESS CHURCH OF   </t>
  </si>
  <si>
    <t xml:space="preserve"> **SWS CUTHBERT AV 187 FT SE OF HAY</t>
  </si>
  <si>
    <t xml:space="preserve"> **SWS WHITE AV 478-7 FT NW OF BELA</t>
  </si>
  <si>
    <t xml:space="preserve">ENITAN, OLUSOLA SOLOMON       </t>
  </si>
  <si>
    <t xml:space="preserve"> **SWS 10 FT ALLEY 1ST SW MONTPELIE</t>
  </si>
  <si>
    <t xml:space="preserve">POWELL, JOSEPH L              </t>
  </si>
  <si>
    <t xml:space="preserve"> **SWS 16 FT ALLEY 1ST SW OF WICKLO</t>
  </si>
  <si>
    <t xml:space="preserve">FORTUNE, BARRY W              </t>
  </si>
  <si>
    <t xml:space="preserve"> **SWS 17 FT ALLEY 1ST SW OF POTTER</t>
  </si>
  <si>
    <t xml:space="preserve">STANCIU, CALIN                </t>
  </si>
  <si>
    <t xml:space="preserve">2514 TALBOT ROAD UNIT: C           </t>
  </si>
  <si>
    <t xml:space="preserve">WILKS, GLORIA J               </t>
  </si>
  <si>
    <t>R-1-D</t>
  </si>
  <si>
    <t xml:space="preserve">3002 TITON ST                      </t>
  </si>
  <si>
    <t xml:space="preserve">JOHNSON JR, JOSEPH            </t>
  </si>
  <si>
    <t xml:space="preserve">3032 TITON ST                      </t>
  </si>
  <si>
    <t xml:space="preserve">DOUGLAS, BESSIE               </t>
  </si>
  <si>
    <t xml:space="preserve">3819 TOWANDA AVE                   </t>
  </si>
  <si>
    <t xml:space="preserve">PEEBLES, JOEL                 </t>
  </si>
  <si>
    <t xml:space="preserve">3810 TOWANDA AVE                   </t>
  </si>
  <si>
    <t xml:space="preserve">GGEL ENTERPRISES, INC         </t>
  </si>
  <si>
    <t xml:space="preserve">4126 TOWNSEND AVE                  </t>
  </si>
  <si>
    <t xml:space="preserve">MERCEDES, CARLOS M.           </t>
  </si>
  <si>
    <t xml:space="preserve">0218 S VINCENT ST                  </t>
  </si>
  <si>
    <t xml:space="preserve">SEIGLE, CAROLYN               </t>
  </si>
  <si>
    <t xml:space="preserve">0221 S VINCENT ST                  </t>
  </si>
  <si>
    <t xml:space="preserve">Y PLUS MARK, LLC              </t>
  </si>
  <si>
    <t xml:space="preserve">0211 S VINCENT ST                  </t>
  </si>
  <si>
    <t xml:space="preserve">R&amp;T REALTY, LLC               </t>
  </si>
  <si>
    <t xml:space="preserve">0407 S VINCENT ST                  </t>
  </si>
  <si>
    <t xml:space="preserve">PAYNE, THOMAS R.              </t>
  </si>
  <si>
    <t xml:space="preserve">0425 S VINCENT ST                  </t>
  </si>
  <si>
    <t xml:space="preserve">HAPPY HOME INVESTORS, LLC     </t>
  </si>
  <si>
    <t xml:space="preserve">1521 VINE ST                       </t>
  </si>
  <si>
    <t xml:space="preserve">GATEWOOD, DAVID B             </t>
  </si>
  <si>
    <t xml:space="preserve">1523 VINE ST                       </t>
  </si>
  <si>
    <t xml:space="preserve">POREZ, CARLOS                 </t>
  </si>
  <si>
    <t xml:space="preserve">1904-1936 VINE ST                  </t>
  </si>
  <si>
    <t xml:space="preserve">LIGHTLAW INCORPORATED ETAL    </t>
  </si>
  <si>
    <t xml:space="preserve">1517 VINE ST                       </t>
  </si>
  <si>
    <t xml:space="preserve">1917-1925 VINE ST                  </t>
  </si>
  <si>
    <t xml:space="preserve">1901-1915 VINE ST                  </t>
  </si>
  <si>
    <t xml:space="preserve">TURNER, ROBERT                </t>
  </si>
  <si>
    <t xml:space="preserve">1511 VINE ST                       </t>
  </si>
  <si>
    <t xml:space="preserve">HARRISON, EDWARD L            </t>
  </si>
  <si>
    <t xml:space="preserve">1944 VINE ST                       </t>
  </si>
  <si>
    <t xml:space="preserve">1525 VINE ST                       </t>
  </si>
  <si>
    <t xml:space="preserve">1929 VINE ST                       </t>
  </si>
  <si>
    <t xml:space="preserve">STEWART, CHARLES              </t>
  </si>
  <si>
    <t xml:space="preserve">1515 VINE ST                       </t>
  </si>
  <si>
    <t xml:space="preserve">2144 VINE ST                       </t>
  </si>
  <si>
    <t xml:space="preserve">INVELON, LLC                  </t>
  </si>
  <si>
    <t xml:space="preserve">1509 VINE ST                       </t>
  </si>
  <si>
    <t xml:space="preserve">1513 VINE ST                       </t>
  </si>
  <si>
    <t xml:space="preserve">2119 VINE ST                       </t>
  </si>
  <si>
    <t xml:space="preserve">HARRIS-JOHNSON, JOYCE         </t>
  </si>
  <si>
    <t xml:space="preserve">3528 VIRGINIA AVE                  </t>
  </si>
  <si>
    <t xml:space="preserve">BIBAH REALTY, LLC.            </t>
  </si>
  <si>
    <t xml:space="preserve">3527 VIRGINIA AVE                  </t>
  </si>
  <si>
    <t xml:space="preserve">3520 VIRGINIA AVE                  </t>
  </si>
  <si>
    <t xml:space="preserve">URBANIA DEVELOPMENT, LLC      </t>
  </si>
  <si>
    <t xml:space="preserve"> **W END 15 FT ALLEY 1ST N HARWOOD </t>
  </si>
  <si>
    <t xml:space="preserve">2812 WALBROOK AVE                  </t>
  </si>
  <si>
    <t xml:space="preserve">LONNIE BAILEY &amp; WF            </t>
  </si>
  <si>
    <t xml:space="preserve">3317 WALBROOK AVE                  </t>
  </si>
  <si>
    <t xml:space="preserve">CLAYTON S BROWN               </t>
  </si>
  <si>
    <t xml:space="preserve">1909 WALBROOK AVE                  </t>
  </si>
  <si>
    <t xml:space="preserve">PILLAR OF TRUTH, INC          </t>
  </si>
  <si>
    <t xml:space="preserve">2044 WALBROOK AVE                  </t>
  </si>
  <si>
    <t xml:space="preserve">D&amp;D REALTY SERVICES,INC.      </t>
  </si>
  <si>
    <t xml:space="preserve">1919 WALBROOK AVE                  </t>
  </si>
  <si>
    <t xml:space="preserve">2904 WALBROOK AVE                  </t>
  </si>
  <si>
    <t xml:space="preserve">SNEED, SADIE M                </t>
  </si>
  <si>
    <t xml:space="preserve">2906 WALBROOK AVE                  </t>
  </si>
  <si>
    <t xml:space="preserve">ARM INVESTMENT GROUP,         </t>
  </si>
  <si>
    <t xml:space="preserve">1807 WALBROOK AVE                  </t>
  </si>
  <si>
    <t xml:space="preserve">BOND, ELIZABETH M.J.          </t>
  </si>
  <si>
    <t xml:space="preserve">2809 WALBROOK AVE                  </t>
  </si>
  <si>
    <t>E&amp;J DEVELOPER MANAGEMENT SERVI</t>
  </si>
  <si>
    <t xml:space="preserve">3305 WALBROOK AVE                  </t>
  </si>
  <si>
    <t xml:space="preserve">CAMPBELL, RUBY M              </t>
  </si>
  <si>
    <t xml:space="preserve">2819 WALDORF AVE                   </t>
  </si>
  <si>
    <t xml:space="preserve">WILLIAM H HARRIS              </t>
  </si>
  <si>
    <t xml:space="preserve">2810 WALDORF AVE                   </t>
  </si>
  <si>
    <t xml:space="preserve">ROBERT FELDMAN                </t>
  </si>
  <si>
    <t xml:space="preserve">0905 WASHINGTON BLVD               </t>
  </si>
  <si>
    <t xml:space="preserve">HERD, MARY A                  </t>
  </si>
  <si>
    <t xml:space="preserve">2029 N WASHINGTON ST               </t>
  </si>
  <si>
    <t xml:space="preserve">THOMAS, JOHN                  </t>
  </si>
  <si>
    <t xml:space="preserve">1920 N WASHINGTON ST               </t>
  </si>
  <si>
    <t xml:space="preserve">GUTIERREZ, ANTONIA            </t>
  </si>
  <si>
    <t xml:space="preserve">2035 N WASHINGTON ST               </t>
  </si>
  <si>
    <t xml:space="preserve">BROWN, KEISUE  H.             </t>
  </si>
  <si>
    <t xml:space="preserve">2000 N WASHINGTON ST               </t>
  </si>
  <si>
    <t xml:space="preserve">1911, LLC                     </t>
  </si>
  <si>
    <t xml:space="preserve">2211 WEAVER LANE                   </t>
  </si>
  <si>
    <t xml:space="preserve">KOSOY, GARY                   </t>
  </si>
  <si>
    <t xml:space="preserve">1719 WESTWOOD AVE                  </t>
  </si>
  <si>
    <t xml:space="preserve">UP6 BUSINESS TRUST            </t>
  </si>
  <si>
    <t xml:space="preserve">2017 WESTWOOD AVE                  </t>
  </si>
  <si>
    <t xml:space="preserve">PADUA, SHARON                 </t>
  </si>
  <si>
    <t xml:space="preserve">1700 WESTWOOD AVE                  </t>
  </si>
  <si>
    <t xml:space="preserve">SUNVILLE INTERNATIONAL        </t>
  </si>
  <si>
    <t xml:space="preserve">1838 WESTWOOD AVE                  </t>
  </si>
  <si>
    <t xml:space="preserve">EXR, LLC                      </t>
  </si>
  <si>
    <t xml:space="preserve">0101 N WHEELER AVE                 </t>
  </si>
  <si>
    <t xml:space="preserve">ISAAC FISHER &amp; WF             </t>
  </si>
  <si>
    <t xml:space="preserve">0451 WHITRIDGE AVE                 </t>
  </si>
  <si>
    <t xml:space="preserve">2318 WHITTIER AVE                  </t>
  </si>
  <si>
    <t xml:space="preserve">NEWSOME, JOHN                 </t>
  </si>
  <si>
    <t xml:space="preserve">5611 WILDWOOD LANE                 </t>
  </si>
  <si>
    <t xml:space="preserve">BORINSKY, DAVID               </t>
  </si>
  <si>
    <t xml:space="preserve">2003 WILHELM ST                    </t>
  </si>
  <si>
    <t xml:space="preserve">2114 WILHELM ST                    </t>
  </si>
  <si>
    <t xml:space="preserve">REITZ, DAVID O                </t>
  </si>
  <si>
    <t xml:space="preserve">1904 WILHELM ST                    </t>
  </si>
  <si>
    <t xml:space="preserve">TARAWNEH, WASIM M             </t>
  </si>
  <si>
    <t xml:space="preserve">1905 WILHELM ST                    </t>
  </si>
  <si>
    <t xml:space="preserve">SILVA, JOSE A.                </t>
  </si>
  <si>
    <t xml:space="preserve">1811 WILHELM ST                    </t>
  </si>
  <si>
    <t xml:space="preserve">HAWKINS, LANZA                </t>
  </si>
  <si>
    <t xml:space="preserve">2120 WILHELM ST                    </t>
  </si>
  <si>
    <t xml:space="preserve">ROCKY FORD, LLC               </t>
  </si>
  <si>
    <t xml:space="preserve">1833 WILHELM ST                    </t>
  </si>
  <si>
    <t xml:space="preserve">BAKER, CAROL ANN              </t>
  </si>
  <si>
    <t xml:space="preserve">1840 WILHELM ST                    </t>
  </si>
  <si>
    <t xml:space="preserve">BLAIR, DANIEL J               </t>
  </si>
  <si>
    <t xml:space="preserve">2132 WILKENS AVE                   </t>
  </si>
  <si>
    <t xml:space="preserve">2222 WILKENS AVE                   </t>
  </si>
  <si>
    <t xml:space="preserve">1920 WILKENS AVE                   </t>
  </si>
  <si>
    <t xml:space="preserve">HAWKINS, CLAUDINE G           </t>
  </si>
  <si>
    <t xml:space="preserve">1804 WILKENS AVE                   </t>
  </si>
  <si>
    <t xml:space="preserve">GRAY, BRIAN E.                </t>
  </si>
  <si>
    <t xml:space="preserve">1824 WILKENS AVE                   </t>
  </si>
  <si>
    <t xml:space="preserve">AEGINA INVESTMENTS, LLC       </t>
  </si>
  <si>
    <t xml:space="preserve">1727 WILKENS AVE                   </t>
  </si>
  <si>
    <t xml:space="preserve">KRAEMER, IDA M.               </t>
  </si>
  <si>
    <t xml:space="preserve">1917 WILKENS AVE                   </t>
  </si>
  <si>
    <t xml:space="preserve">WHITE, CLAUDIA SHARON         </t>
  </si>
  <si>
    <t xml:space="preserve">2731 WILKENS AVE                   </t>
  </si>
  <si>
    <t xml:space="preserve">OSAS, KEVIN                   </t>
  </si>
  <si>
    <t xml:space="preserve">0121-123 WILLARD ST                </t>
  </si>
  <si>
    <t xml:space="preserve">MOSS, JAMES                   </t>
  </si>
  <si>
    <t xml:space="preserve">0115 WILLARD ST                    </t>
  </si>
  <si>
    <t xml:space="preserve">BOYD, DAVID                   </t>
  </si>
  <si>
    <t xml:space="preserve">4001 WILSBY AVE                    </t>
  </si>
  <si>
    <t xml:space="preserve">INGRAM, LISA                  </t>
  </si>
  <si>
    <t xml:space="preserve">2906 WINCHESTER ST                 </t>
  </si>
  <si>
    <t xml:space="preserve">NIMMONS, DOROTHY              </t>
  </si>
  <si>
    <t xml:space="preserve">2900 WINCHESTER ST                 </t>
  </si>
  <si>
    <t>AMERICAN EQUITY RENTALS THREE,</t>
  </si>
  <si>
    <t xml:space="preserve">3025 WINDSOR AVE                   </t>
  </si>
  <si>
    <t xml:space="preserve">SAGUAN REALTY, INC.           </t>
  </si>
  <si>
    <t xml:space="preserve">3210 WINDSOR AVE                   </t>
  </si>
  <si>
    <t xml:space="preserve">MCCLELLAN II., RAYMOND E      </t>
  </si>
  <si>
    <t xml:space="preserve">3329 WINTERBOURNE ROAD             </t>
  </si>
  <si>
    <t xml:space="preserve">HAIRSTON, T.E.  (TR)          </t>
  </si>
  <si>
    <t xml:space="preserve">2118 N WOLFE ST                    </t>
  </si>
  <si>
    <t xml:space="preserve">HALL JR., ROY M.              </t>
  </si>
  <si>
    <t xml:space="preserve">3104 WOODLAND AVE                  </t>
  </si>
  <si>
    <t xml:space="preserve">CE REALTY, LLC.               </t>
  </si>
  <si>
    <t xml:space="preserve">2908 WOODLAND AVE                  </t>
  </si>
  <si>
    <t xml:space="preserve">KEENE, DENISE                 </t>
  </si>
  <si>
    <t xml:space="preserve">4303 WOODLEA AVE                   </t>
  </si>
  <si>
    <t xml:space="preserve">BROWN, ALONZO                 </t>
  </si>
  <si>
    <t xml:space="preserve">5115 WOOLVERTON AVE                </t>
  </si>
  <si>
    <t xml:space="preserve">SMEC LLC                      </t>
  </si>
  <si>
    <t xml:space="preserve">4439 WRENWOOD AVE                  </t>
  </si>
  <si>
    <t xml:space="preserve">JOHN'S REALTY                 </t>
  </si>
  <si>
    <t xml:space="preserve">4411 WRENWOOD AVE                  </t>
  </si>
  <si>
    <t xml:space="preserve">E.B. MORTGAGE CORPORATION     </t>
  </si>
  <si>
    <t xml:space="preserve">4432 WRENWOOD AVE                  </t>
  </si>
  <si>
    <t xml:space="preserve">RUTH A DALE                   </t>
  </si>
  <si>
    <t xml:space="preserve"> **WS APPLETON ST 285-3 FT N OF RIG</t>
  </si>
  <si>
    <t xml:space="preserve">CROUSE, DONALD E              </t>
  </si>
  <si>
    <t xml:space="preserve"> **WS CASADEL AV NWC MAULDIN AV    </t>
  </si>
  <si>
    <t xml:space="preserve">MARTIN, THERESE M. (ETAL)     </t>
  </si>
  <si>
    <t xml:space="preserve"> **WS CASADEL AV 150 FT S OF DELMON</t>
  </si>
  <si>
    <t xml:space="preserve"> **WS CHELSEA RD 260 FT N OF NORTON</t>
  </si>
  <si>
    <t xml:space="preserve">WELCH, EUGENIA H              </t>
  </si>
  <si>
    <t xml:space="preserve"> **WS COLLEGE AVE SWC E COLDSPRING </t>
  </si>
  <si>
    <t xml:space="preserve">WELLS, ANNE                   </t>
  </si>
  <si>
    <t xml:space="preserve"> **WS DENNISON ST 122'N W NORTH AVE</t>
  </si>
  <si>
    <t xml:space="preserve">FALLS NORTH PARTNERSHIP       </t>
  </si>
  <si>
    <t xml:space="preserve"> **WS FAIRHAVEN AV SWC OLMSTEAD ST </t>
  </si>
  <si>
    <t xml:space="preserve">HAYNES, BERNARD S             </t>
  </si>
  <si>
    <t xml:space="preserve"> **WS OF N ROSE STREET 26-11 N OF S</t>
  </si>
  <si>
    <t>P &amp; L COMMERCIAL PROPERTIES,LL</t>
  </si>
  <si>
    <t xml:space="preserve"> **WS S DURHAM ST 75 FT S OF E BALT</t>
  </si>
  <si>
    <t xml:space="preserve">BOLTON INVESTMENT, LLC.       </t>
  </si>
  <si>
    <t xml:space="preserve"> **WS 10 FT ALLEY 1ST E OF HOPE ST </t>
  </si>
  <si>
    <t xml:space="preserve">BANK REALTY, INC.             </t>
  </si>
  <si>
    <t xml:space="preserve"> **WS 15 FT ALLEY 1ST W OF GRANTLEY</t>
  </si>
  <si>
    <t xml:space="preserve">KEYS, BETTY                   </t>
  </si>
  <si>
    <t xml:space="preserve"> **WS 31 FT ALLEY 1ST W OF ALLENDAL</t>
  </si>
  <si>
    <t xml:space="preserve">WYCHE, BERNARD R              </t>
  </si>
  <si>
    <t xml:space="preserve">JORDAN, WERNER                </t>
  </si>
  <si>
    <t xml:space="preserve">622 ALLENDALE ST., LLC        </t>
  </si>
  <si>
    <t xml:space="preserve">0319 YALE AVE                      </t>
  </si>
  <si>
    <t xml:space="preserve">RENAISSANCE INVESTMENTS, LLC  </t>
  </si>
  <si>
    <t xml:space="preserve">3960 YELL ST                       </t>
  </si>
  <si>
    <t xml:space="preserve">AVENT, RUSSELL Y.             </t>
  </si>
  <si>
    <t xml:space="preserve">3856 YELL ST                       </t>
  </si>
  <si>
    <t xml:space="preserve">BOLDEN, JEREMIAH C            </t>
  </si>
  <si>
    <t xml:space="preserve">4716 YORK ROAD                     </t>
  </si>
  <si>
    <t xml:space="preserve">CARTER, BRENDA                </t>
  </si>
  <si>
    <t xml:space="preserve">3617 02ND ST                       </t>
  </si>
  <si>
    <t xml:space="preserve">HALL, CHRISTINE L             </t>
  </si>
  <si>
    <t xml:space="preserve">3615 02ND ST                       </t>
  </si>
  <si>
    <t xml:space="preserve">ESCALANTE, RICHARD            </t>
  </si>
  <si>
    <t xml:space="preserve">1121 E 20TH ST                     </t>
  </si>
  <si>
    <t xml:space="preserve">JOHNSON, DOROTHY              </t>
  </si>
  <si>
    <t xml:space="preserve">1125 E 20TH ST                     </t>
  </si>
  <si>
    <t xml:space="preserve">PRESTON, WILLIAM E            </t>
  </si>
  <si>
    <t xml:space="preserve">0501-503 E 22ND ST                 </t>
  </si>
  <si>
    <t xml:space="preserve">0714 E 23RD ST                     </t>
  </si>
  <si>
    <t xml:space="preserve">TT&amp;T PROPERTY SOLUTIONS, LLC  </t>
  </si>
  <si>
    <t xml:space="preserve">0302 E 24TH ST                     </t>
  </si>
  <si>
    <t xml:space="preserve">BALTIMORE RETURN FUND, LLC.   </t>
  </si>
  <si>
    <t xml:space="preserve">1707 E 25TH ST                     </t>
  </si>
  <si>
    <t xml:space="preserve">RICH, DAMAION SHAUN           </t>
  </si>
  <si>
    <t xml:space="preserve">0420 E 26TH ST                     </t>
  </si>
  <si>
    <t xml:space="preserve">TRACEY, TYRON                 </t>
  </si>
  <si>
    <t xml:space="preserve">0422 E 26TH ST                     </t>
  </si>
  <si>
    <t xml:space="preserve">COPIADORA, S.A.               </t>
  </si>
  <si>
    <t xml:space="preserve">1000 E 33RD ST                     </t>
  </si>
  <si>
    <t>STADIUM PLACE ASSOCIATION, INC</t>
  </si>
  <si>
    <t xml:space="preserve">1413 W 36TH ST                     </t>
  </si>
  <si>
    <t xml:space="preserve">KNOTT ETAL, GEORGE F          </t>
  </si>
  <si>
    <t xml:space="preserve">3565 04TH ST                       </t>
  </si>
  <si>
    <t xml:space="preserve">MATTEN, NOAH A                </t>
  </si>
  <si>
    <t xml:space="preserve">3547 04TH ST                       </t>
  </si>
  <si>
    <t xml:space="preserve">SINGH, CHANDHOK J             </t>
  </si>
  <si>
    <t xml:space="preserve">0709 E 43RD ST                     </t>
  </si>
  <si>
    <t xml:space="preserve">HILMON MURRAY &amp; WF            </t>
  </si>
  <si>
    <t xml:space="preserve">3558 06TH ST                       </t>
  </si>
  <si>
    <t xml:space="preserve">4036&gt; 06TH ST                      </t>
  </si>
  <si>
    <t xml:space="preserve">FRESH AIR PROPERTIES, LLC     </t>
  </si>
  <si>
    <t xml:space="preserve">3510 08TH AVE                      </t>
  </si>
  <si>
    <t xml:space="preserve">KAMINSKI, BERNARD F           </t>
  </si>
  <si>
    <t xml:space="preserve">MI   </t>
  </si>
  <si>
    <t xml:space="preserve">3905 08TH ST                       </t>
  </si>
  <si>
    <t xml:space="preserve">FAUCEGLIO, CHRISTOPHER P      </t>
  </si>
  <si>
    <t xml:space="preserve">4108 08TH ST                       </t>
  </si>
  <si>
    <t xml:space="preserve">MATTHEWS, JERRY A             </t>
  </si>
  <si>
    <t xml:space="preserve">4014 08TH ST                       </t>
  </si>
  <si>
    <t xml:space="preserve">BHASKARREDDY, ROM P           </t>
  </si>
  <si>
    <t xml:space="preserve">3908 08TH ST                       </t>
  </si>
  <si>
    <t xml:space="preserve">CRAWFORD, CATHERINE           </t>
  </si>
  <si>
    <t xml:space="preserve">4010 08TH ST                       </t>
  </si>
  <si>
    <t xml:space="preserve">C S &amp; G ENTERPRISES, LLC.     </t>
  </si>
  <si>
    <t xml:space="preserve">3604 09TH ST                       </t>
  </si>
  <si>
    <t xml:space="preserve">BROOKLYN #9, LLC.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</si>
</sst>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tabSelected="1" workbookViewId="0">
      <pane ySplit="2" topLeftCell="A3" activePane="bottomLeft" state="frozen"/>
      <selection pane="bottomLeft" activeCell="A1051" sqref="A1051:K1326"/>
    </sheetView>
  </sheetViews>
  <sheetFormatPr defaultRowHeight="15" x14ac:dyDescent="0.25"/>
  <cols>
    <col min="1" max="1" width="8.85546875" bestFit="1" customWidth="1"/>
    <col min="2" max="2" width="34.7109375" customWidth="1"/>
    <col min="3" max="3" width="7.28515625" bestFit="1" customWidth="1"/>
    <col min="4" max="4" width="6.7109375" bestFit="1" customWidth="1"/>
    <col min="5" max="5" width="5.28515625" bestFit="1" customWidth="1"/>
    <col min="6" max="6" width="28.7109375" customWidth="1"/>
    <col min="7" max="7" width="13.5703125" bestFit="1" customWidth="1"/>
    <col min="8" max="8" width="6.42578125" bestFit="1" customWidth="1"/>
    <col min="9" max="9" width="14.85546875" customWidth="1"/>
    <col min="10" max="10" width="13.5703125" bestFit="1" customWidth="1"/>
    <col min="11" max="11" width="22" bestFit="1" customWidth="1"/>
  </cols>
  <sheetData>
    <row r="1" spans="1:11" s="2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s="2" customForma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t="str">
        <f t="shared" ref="A3:A66" si="0">"07/20/20"</f>
        <v>07/20/20</v>
      </c>
      <c r="B3" t="s">
        <v>12</v>
      </c>
      <c r="C3" t="str">
        <f t="shared" ref="C3:C9" si="1">"21218"</f>
        <v>21218</v>
      </c>
      <c r="D3" t="str">
        <f>"4138 "</f>
        <v xml:space="preserve">4138 </v>
      </c>
      <c r="E3" t="str">
        <f>"007 "</f>
        <v xml:space="preserve">007 </v>
      </c>
      <c r="F3" t="s">
        <v>13</v>
      </c>
      <c r="G3" s="1">
        <v>1000</v>
      </c>
      <c r="H3" t="s">
        <v>14</v>
      </c>
      <c r="I3" t="s">
        <v>15</v>
      </c>
      <c r="J3" s="1">
        <v>69907.53</v>
      </c>
    </row>
    <row r="4" spans="1:11" x14ac:dyDescent="0.25">
      <c r="A4" t="str">
        <f t="shared" si="0"/>
        <v>07/20/20</v>
      </c>
      <c r="B4" t="s">
        <v>16</v>
      </c>
      <c r="C4" t="str">
        <f t="shared" si="1"/>
        <v>21218</v>
      </c>
      <c r="D4" t="str">
        <f>"4139 "</f>
        <v xml:space="preserve">4139 </v>
      </c>
      <c r="E4" t="str">
        <f>"010 "</f>
        <v xml:space="preserve">010 </v>
      </c>
      <c r="F4" t="s">
        <v>17</v>
      </c>
      <c r="G4" s="1">
        <v>1000</v>
      </c>
      <c r="H4" t="s">
        <v>14</v>
      </c>
      <c r="I4" t="s">
        <v>15</v>
      </c>
      <c r="J4" s="1">
        <v>29730.15</v>
      </c>
    </row>
    <row r="5" spans="1:11" x14ac:dyDescent="0.25">
      <c r="A5" t="str">
        <f t="shared" si="0"/>
        <v>07/20/20</v>
      </c>
      <c r="B5" t="s">
        <v>18</v>
      </c>
      <c r="C5" t="str">
        <f t="shared" si="1"/>
        <v>21218</v>
      </c>
      <c r="D5" t="str">
        <f>"4130 "</f>
        <v xml:space="preserve">4130 </v>
      </c>
      <c r="E5" t="str">
        <f>"034 "</f>
        <v xml:space="preserve">034 </v>
      </c>
      <c r="F5" t="s">
        <v>19</v>
      </c>
      <c r="G5" s="1">
        <v>1000</v>
      </c>
      <c r="H5" t="s">
        <v>14</v>
      </c>
      <c r="I5" t="s">
        <v>15</v>
      </c>
      <c r="J5" s="1">
        <v>11430.38</v>
      </c>
    </row>
    <row r="6" spans="1:11" x14ac:dyDescent="0.25">
      <c r="A6" t="str">
        <f t="shared" si="0"/>
        <v>07/20/20</v>
      </c>
      <c r="B6" t="s">
        <v>20</v>
      </c>
      <c r="C6" t="str">
        <f t="shared" si="1"/>
        <v>21218</v>
      </c>
      <c r="D6" t="str">
        <f>"4132 "</f>
        <v xml:space="preserve">4132 </v>
      </c>
      <c r="E6" t="str">
        <f>"063 "</f>
        <v xml:space="preserve">063 </v>
      </c>
      <c r="F6" t="s">
        <v>21</v>
      </c>
      <c r="G6" s="1">
        <v>1000</v>
      </c>
      <c r="H6" t="s">
        <v>14</v>
      </c>
      <c r="I6" t="s">
        <v>15</v>
      </c>
      <c r="J6" s="1">
        <v>26791.919999999998</v>
      </c>
    </row>
    <row r="7" spans="1:11" x14ac:dyDescent="0.25">
      <c r="A7" t="str">
        <f t="shared" si="0"/>
        <v>07/20/20</v>
      </c>
      <c r="B7" t="s">
        <v>22</v>
      </c>
      <c r="C7" t="str">
        <f t="shared" si="1"/>
        <v>21218</v>
      </c>
      <c r="D7" t="str">
        <f>"4130 "</f>
        <v xml:space="preserve">4130 </v>
      </c>
      <c r="E7" t="str">
        <f>"018A"</f>
        <v>018A</v>
      </c>
      <c r="F7" t="s">
        <v>23</v>
      </c>
      <c r="G7" s="1">
        <v>1000</v>
      </c>
      <c r="H7" t="s">
        <v>14</v>
      </c>
      <c r="I7" t="s">
        <v>15</v>
      </c>
      <c r="J7" s="1">
        <v>89000.31</v>
      </c>
    </row>
    <row r="8" spans="1:11" x14ac:dyDescent="0.25">
      <c r="A8" t="str">
        <f t="shared" si="0"/>
        <v>07/20/20</v>
      </c>
      <c r="B8" t="s">
        <v>24</v>
      </c>
      <c r="C8" t="str">
        <f t="shared" si="1"/>
        <v>21218</v>
      </c>
      <c r="D8" t="str">
        <f>"4130 "</f>
        <v xml:space="preserve">4130 </v>
      </c>
      <c r="E8" t="str">
        <f>"018 "</f>
        <v xml:space="preserve">018 </v>
      </c>
      <c r="F8" t="s">
        <v>25</v>
      </c>
      <c r="G8" s="1">
        <v>1000</v>
      </c>
      <c r="H8" t="s">
        <v>14</v>
      </c>
      <c r="I8" t="s">
        <v>15</v>
      </c>
      <c r="J8" s="1">
        <v>28691.47</v>
      </c>
    </row>
    <row r="9" spans="1:11" x14ac:dyDescent="0.25">
      <c r="A9" t="str">
        <f t="shared" si="0"/>
        <v>07/20/20</v>
      </c>
      <c r="B9" t="s">
        <v>26</v>
      </c>
      <c r="C9" t="str">
        <f t="shared" si="1"/>
        <v>21218</v>
      </c>
      <c r="D9" t="str">
        <f>"4128 "</f>
        <v xml:space="preserve">4128 </v>
      </c>
      <c r="E9" t="str">
        <f>"053 "</f>
        <v xml:space="preserve">053 </v>
      </c>
      <c r="F9" t="s">
        <v>27</v>
      </c>
      <c r="G9" s="1">
        <v>25000</v>
      </c>
      <c r="H9" t="s">
        <v>14</v>
      </c>
      <c r="I9" t="s">
        <v>15</v>
      </c>
      <c r="J9" s="1">
        <v>59138.65</v>
      </c>
    </row>
    <row r="10" spans="1:11" x14ac:dyDescent="0.25">
      <c r="A10" t="str">
        <f t="shared" si="0"/>
        <v>07/20/20</v>
      </c>
      <c r="B10" t="s">
        <v>28</v>
      </c>
      <c r="C10" t="str">
        <f>"21229"</f>
        <v>21229</v>
      </c>
      <c r="D10" t="str">
        <f>"2230G"</f>
        <v>2230G</v>
      </c>
      <c r="E10" t="str">
        <f>"034 "</f>
        <v xml:space="preserve">034 </v>
      </c>
      <c r="F10" t="s">
        <v>29</v>
      </c>
      <c r="G10" s="1">
        <v>57200</v>
      </c>
      <c r="H10" t="s">
        <v>30</v>
      </c>
      <c r="I10" t="s">
        <v>15</v>
      </c>
      <c r="J10" s="1">
        <v>21835.4</v>
      </c>
    </row>
    <row r="11" spans="1:11" x14ac:dyDescent="0.25">
      <c r="A11" t="str">
        <f t="shared" si="0"/>
        <v>07/20/20</v>
      </c>
      <c r="B11" t="s">
        <v>31</v>
      </c>
      <c r="C11" t="str">
        <f>"21223"</f>
        <v>21223</v>
      </c>
      <c r="D11" t="str">
        <f>"0243 "</f>
        <v xml:space="preserve">0243 </v>
      </c>
      <c r="E11" t="str">
        <f>"068 "</f>
        <v xml:space="preserve">068 </v>
      </c>
      <c r="F11" t="s">
        <v>32</v>
      </c>
      <c r="G11" s="1">
        <v>6000</v>
      </c>
      <c r="H11" t="s">
        <v>33</v>
      </c>
      <c r="I11" t="s">
        <v>34</v>
      </c>
      <c r="J11" s="1">
        <v>17451.07</v>
      </c>
    </row>
    <row r="12" spans="1:11" x14ac:dyDescent="0.25">
      <c r="A12" t="str">
        <f t="shared" si="0"/>
        <v>07/20/20</v>
      </c>
      <c r="B12" t="s">
        <v>35</v>
      </c>
      <c r="C12" t="str">
        <f>"21213"</f>
        <v>21213</v>
      </c>
      <c r="D12" t="str">
        <f>"1099B"</f>
        <v>1099B</v>
      </c>
      <c r="E12" t="str">
        <f>"110 "</f>
        <v xml:space="preserve">110 </v>
      </c>
      <c r="F12" t="s">
        <v>36</v>
      </c>
      <c r="G12" s="1">
        <v>1000</v>
      </c>
      <c r="H12" t="s">
        <v>33</v>
      </c>
      <c r="I12" t="s">
        <v>15</v>
      </c>
      <c r="J12" s="1">
        <v>69911.27</v>
      </c>
    </row>
    <row r="13" spans="1:11" x14ac:dyDescent="0.25">
      <c r="A13" t="str">
        <f t="shared" si="0"/>
        <v>07/20/20</v>
      </c>
      <c r="B13" t="s">
        <v>37</v>
      </c>
      <c r="C13" t="str">
        <f>"21218"</f>
        <v>21218</v>
      </c>
      <c r="D13" t="str">
        <f>"4010G"</f>
        <v>4010G</v>
      </c>
      <c r="E13" t="str">
        <f>"032 "</f>
        <v xml:space="preserve">032 </v>
      </c>
      <c r="F13" t="s">
        <v>38</v>
      </c>
      <c r="G13" s="1">
        <v>12000</v>
      </c>
      <c r="H13" t="s">
        <v>30</v>
      </c>
      <c r="I13" t="s">
        <v>15</v>
      </c>
      <c r="J13" s="1">
        <v>12165.92</v>
      </c>
    </row>
    <row r="14" spans="1:11" x14ac:dyDescent="0.25">
      <c r="A14" t="str">
        <f t="shared" si="0"/>
        <v>07/20/20</v>
      </c>
      <c r="B14" t="s">
        <v>39</v>
      </c>
      <c r="C14" t="str">
        <f>"21212"</f>
        <v>21212</v>
      </c>
      <c r="D14" t="str">
        <f>"5214 "</f>
        <v xml:space="preserve">5214 </v>
      </c>
      <c r="E14" t="str">
        <f>"049 "</f>
        <v xml:space="preserve">049 </v>
      </c>
      <c r="F14" t="s">
        <v>40</v>
      </c>
      <c r="G14" s="1">
        <v>79100</v>
      </c>
      <c r="H14" t="s">
        <v>14</v>
      </c>
      <c r="I14" t="s">
        <v>15</v>
      </c>
      <c r="J14" s="1">
        <v>31868.67</v>
      </c>
    </row>
    <row r="15" spans="1:11" x14ac:dyDescent="0.25">
      <c r="A15" t="str">
        <f t="shared" si="0"/>
        <v>07/20/20</v>
      </c>
      <c r="B15" t="s">
        <v>41</v>
      </c>
      <c r="C15" t="str">
        <f>"21229"</f>
        <v>21229</v>
      </c>
      <c r="D15" t="str">
        <f>"2290A"</f>
        <v>2290A</v>
      </c>
      <c r="E15" t="str">
        <f>"029 "</f>
        <v xml:space="preserve">029 </v>
      </c>
      <c r="F15" t="s">
        <v>42</v>
      </c>
      <c r="G15" s="1">
        <v>79000</v>
      </c>
      <c r="H15" t="s">
        <v>14</v>
      </c>
      <c r="I15" t="s">
        <v>15</v>
      </c>
      <c r="J15" s="1">
        <v>64155.66</v>
      </c>
    </row>
    <row r="16" spans="1:11" x14ac:dyDescent="0.25">
      <c r="A16" t="str">
        <f t="shared" si="0"/>
        <v>07/20/20</v>
      </c>
      <c r="B16" t="s">
        <v>43</v>
      </c>
      <c r="C16" t="str">
        <f t="shared" ref="C16:C28" si="2">"21217"</f>
        <v>21217</v>
      </c>
      <c r="D16" t="str">
        <f>"0007 "</f>
        <v xml:space="preserve">0007 </v>
      </c>
      <c r="E16" t="str">
        <f>"047 "</f>
        <v xml:space="preserve">047 </v>
      </c>
      <c r="F16" t="s">
        <v>44</v>
      </c>
      <c r="G16" s="1">
        <v>19000</v>
      </c>
      <c r="H16" t="s">
        <v>30</v>
      </c>
      <c r="I16" t="s">
        <v>34</v>
      </c>
      <c r="J16" s="1">
        <v>33067.269999999997</v>
      </c>
    </row>
    <row r="17" spans="1:10" x14ac:dyDescent="0.25">
      <c r="A17" t="str">
        <f t="shared" si="0"/>
        <v>07/20/20</v>
      </c>
      <c r="B17" t="s">
        <v>45</v>
      </c>
      <c r="C17" t="str">
        <f t="shared" si="2"/>
        <v>21217</v>
      </c>
      <c r="D17" t="str">
        <f>"0007 "</f>
        <v xml:space="preserve">0007 </v>
      </c>
      <c r="E17" t="str">
        <f>"031 "</f>
        <v xml:space="preserve">031 </v>
      </c>
      <c r="F17" t="s">
        <v>46</v>
      </c>
      <c r="G17" s="1">
        <v>19000</v>
      </c>
      <c r="H17" t="s">
        <v>30</v>
      </c>
      <c r="I17" t="s">
        <v>15</v>
      </c>
      <c r="J17" s="1">
        <v>45334.51</v>
      </c>
    </row>
    <row r="18" spans="1:10" x14ac:dyDescent="0.25">
      <c r="A18" t="str">
        <f t="shared" si="0"/>
        <v>07/20/20</v>
      </c>
      <c r="B18" t="s">
        <v>47</v>
      </c>
      <c r="C18" t="str">
        <f t="shared" si="2"/>
        <v>21217</v>
      </c>
      <c r="D18" t="str">
        <f>"0058 "</f>
        <v xml:space="preserve">0058 </v>
      </c>
      <c r="E18" t="str">
        <f>"093 "</f>
        <v xml:space="preserve">093 </v>
      </c>
      <c r="F18" t="s">
        <v>48</v>
      </c>
      <c r="G18" s="1">
        <v>5000</v>
      </c>
      <c r="H18" t="s">
        <v>33</v>
      </c>
      <c r="I18" t="s">
        <v>34</v>
      </c>
      <c r="J18" s="1">
        <v>15145.14</v>
      </c>
    </row>
    <row r="19" spans="1:10" x14ac:dyDescent="0.25">
      <c r="A19" t="str">
        <f t="shared" si="0"/>
        <v>07/20/20</v>
      </c>
      <c r="B19" t="s">
        <v>49</v>
      </c>
      <c r="C19" t="str">
        <f t="shared" si="2"/>
        <v>21217</v>
      </c>
      <c r="D19" t="str">
        <f>"0058 "</f>
        <v xml:space="preserve">0058 </v>
      </c>
      <c r="E19" t="str">
        <f>"089 "</f>
        <v xml:space="preserve">089 </v>
      </c>
      <c r="F19" t="s">
        <v>50</v>
      </c>
      <c r="G19" s="1">
        <v>15000</v>
      </c>
      <c r="H19" t="s">
        <v>33</v>
      </c>
      <c r="I19" t="s">
        <v>34</v>
      </c>
      <c r="J19" s="1">
        <v>8163.28</v>
      </c>
    </row>
    <row r="20" spans="1:10" x14ac:dyDescent="0.25">
      <c r="A20" t="str">
        <f t="shared" si="0"/>
        <v>07/20/20</v>
      </c>
      <c r="B20" t="s">
        <v>51</v>
      </c>
      <c r="C20" t="str">
        <f t="shared" si="2"/>
        <v>21217</v>
      </c>
      <c r="D20" t="str">
        <f>"0071 "</f>
        <v xml:space="preserve">0071 </v>
      </c>
      <c r="E20" t="str">
        <f>"095 "</f>
        <v xml:space="preserve">095 </v>
      </c>
      <c r="F20" t="s">
        <v>52</v>
      </c>
      <c r="G20" s="1">
        <v>5000</v>
      </c>
      <c r="H20" t="s">
        <v>33</v>
      </c>
      <c r="I20" t="s">
        <v>34</v>
      </c>
      <c r="J20" s="1">
        <v>13224</v>
      </c>
    </row>
    <row r="21" spans="1:10" x14ac:dyDescent="0.25">
      <c r="A21" t="str">
        <f t="shared" si="0"/>
        <v>07/20/20</v>
      </c>
      <c r="B21" t="s">
        <v>53</v>
      </c>
      <c r="C21" t="str">
        <f t="shared" si="2"/>
        <v>21217</v>
      </c>
      <c r="D21" t="str">
        <f>"0071 "</f>
        <v xml:space="preserve">0071 </v>
      </c>
      <c r="E21" t="str">
        <f>"094 "</f>
        <v xml:space="preserve">094 </v>
      </c>
      <c r="F21" t="s">
        <v>54</v>
      </c>
      <c r="G21" s="1">
        <v>5000</v>
      </c>
      <c r="H21" t="s">
        <v>33</v>
      </c>
      <c r="I21" t="s">
        <v>34</v>
      </c>
      <c r="J21" s="1">
        <v>330.87</v>
      </c>
    </row>
    <row r="22" spans="1:10" x14ac:dyDescent="0.25">
      <c r="A22" t="str">
        <f t="shared" si="0"/>
        <v>07/20/20</v>
      </c>
      <c r="B22" t="s">
        <v>55</v>
      </c>
      <c r="C22" t="str">
        <f t="shared" si="2"/>
        <v>21217</v>
      </c>
      <c r="D22" t="str">
        <f>"0071 "</f>
        <v xml:space="preserve">0071 </v>
      </c>
      <c r="E22" t="str">
        <f>"096 "</f>
        <v xml:space="preserve">096 </v>
      </c>
      <c r="F22" t="s">
        <v>56</v>
      </c>
      <c r="G22" s="1">
        <v>5000</v>
      </c>
      <c r="H22" t="s">
        <v>33</v>
      </c>
      <c r="I22" t="s">
        <v>34</v>
      </c>
      <c r="J22" s="1">
        <v>20134.03</v>
      </c>
    </row>
    <row r="23" spans="1:10" x14ac:dyDescent="0.25">
      <c r="A23" t="str">
        <f t="shared" si="0"/>
        <v>07/20/20</v>
      </c>
      <c r="B23" t="s">
        <v>57</v>
      </c>
      <c r="C23" t="str">
        <f t="shared" si="2"/>
        <v>21217</v>
      </c>
      <c r="D23" t="str">
        <f>"0095 "</f>
        <v xml:space="preserve">0095 </v>
      </c>
      <c r="E23" t="str">
        <f>"088 "</f>
        <v xml:space="preserve">088 </v>
      </c>
      <c r="F23" t="s">
        <v>58</v>
      </c>
      <c r="G23" s="1">
        <v>5000</v>
      </c>
      <c r="H23" t="s">
        <v>33</v>
      </c>
      <c r="I23" t="s">
        <v>34</v>
      </c>
      <c r="J23" s="1">
        <v>22899.14</v>
      </c>
    </row>
    <row r="24" spans="1:10" x14ac:dyDescent="0.25">
      <c r="A24" t="str">
        <f t="shared" si="0"/>
        <v>07/20/20</v>
      </c>
      <c r="B24" t="s">
        <v>59</v>
      </c>
      <c r="C24" t="str">
        <f t="shared" si="2"/>
        <v>21217</v>
      </c>
      <c r="D24" t="str">
        <f>"0095 "</f>
        <v xml:space="preserve">0095 </v>
      </c>
      <c r="E24" t="str">
        <f>"083 "</f>
        <v xml:space="preserve">083 </v>
      </c>
      <c r="F24" t="s">
        <v>60</v>
      </c>
      <c r="G24" s="1">
        <v>5000</v>
      </c>
      <c r="H24" t="s">
        <v>33</v>
      </c>
      <c r="I24" t="s">
        <v>34</v>
      </c>
      <c r="J24" s="1">
        <v>61217.01</v>
      </c>
    </row>
    <row r="25" spans="1:10" x14ac:dyDescent="0.25">
      <c r="A25" t="str">
        <f t="shared" si="0"/>
        <v>07/20/20</v>
      </c>
      <c r="B25" t="s">
        <v>61</v>
      </c>
      <c r="C25" t="str">
        <f t="shared" si="2"/>
        <v>21217</v>
      </c>
      <c r="D25" t="str">
        <f>"0095 "</f>
        <v xml:space="preserve">0095 </v>
      </c>
      <c r="E25" t="str">
        <f>"082 "</f>
        <v xml:space="preserve">082 </v>
      </c>
      <c r="F25" t="s">
        <v>62</v>
      </c>
      <c r="G25" s="1">
        <v>5000</v>
      </c>
      <c r="H25" t="s">
        <v>33</v>
      </c>
      <c r="I25" t="s">
        <v>34</v>
      </c>
      <c r="J25" s="1">
        <v>81950.03</v>
      </c>
    </row>
    <row r="26" spans="1:10" x14ac:dyDescent="0.25">
      <c r="A26" t="str">
        <f t="shared" si="0"/>
        <v>07/20/20</v>
      </c>
      <c r="B26" t="s">
        <v>63</v>
      </c>
      <c r="C26" t="str">
        <f t="shared" si="2"/>
        <v>21217</v>
      </c>
      <c r="D26" t="str">
        <f>"0095 "</f>
        <v xml:space="preserve">0095 </v>
      </c>
      <c r="E26" t="str">
        <f>"092 "</f>
        <v xml:space="preserve">092 </v>
      </c>
      <c r="F26" t="s">
        <v>52</v>
      </c>
      <c r="G26" s="1">
        <v>5000</v>
      </c>
      <c r="H26" t="s">
        <v>33</v>
      </c>
      <c r="I26" t="s">
        <v>34</v>
      </c>
      <c r="J26" s="1">
        <v>14742.31</v>
      </c>
    </row>
    <row r="27" spans="1:10" x14ac:dyDescent="0.25">
      <c r="A27" t="str">
        <f t="shared" si="0"/>
        <v>07/20/20</v>
      </c>
      <c r="B27" t="s">
        <v>64</v>
      </c>
      <c r="C27" t="str">
        <f t="shared" si="2"/>
        <v>21217</v>
      </c>
      <c r="D27" t="str">
        <f>"0107 "</f>
        <v xml:space="preserve">0107 </v>
      </c>
      <c r="E27" t="str">
        <f>"098 "</f>
        <v xml:space="preserve">098 </v>
      </c>
      <c r="F27" t="s">
        <v>65</v>
      </c>
      <c r="G27" s="1">
        <v>15000</v>
      </c>
      <c r="H27" t="s">
        <v>33</v>
      </c>
      <c r="I27" t="s">
        <v>15</v>
      </c>
      <c r="J27" s="1">
        <v>10732.16</v>
      </c>
    </row>
    <row r="28" spans="1:10" x14ac:dyDescent="0.25">
      <c r="A28" t="str">
        <f t="shared" si="0"/>
        <v>07/20/20</v>
      </c>
      <c r="B28" t="s">
        <v>66</v>
      </c>
      <c r="C28" t="str">
        <f t="shared" si="2"/>
        <v>21217</v>
      </c>
      <c r="D28" t="str">
        <f>"0079 "</f>
        <v xml:space="preserve">0079 </v>
      </c>
      <c r="E28" t="str">
        <f>"026 "</f>
        <v xml:space="preserve">026 </v>
      </c>
      <c r="F28" t="s">
        <v>67</v>
      </c>
      <c r="G28" s="1">
        <v>6000</v>
      </c>
      <c r="H28" t="s">
        <v>33</v>
      </c>
      <c r="I28" t="s">
        <v>34</v>
      </c>
      <c r="J28" s="1">
        <v>30417.68</v>
      </c>
    </row>
    <row r="29" spans="1:10" x14ac:dyDescent="0.25">
      <c r="A29" t="str">
        <f t="shared" si="0"/>
        <v>07/20/20</v>
      </c>
      <c r="B29" t="s">
        <v>68</v>
      </c>
      <c r="C29" t="str">
        <f>"21223"</f>
        <v>21223</v>
      </c>
      <c r="D29" t="str">
        <f>"0128 "</f>
        <v xml:space="preserve">0128 </v>
      </c>
      <c r="E29" t="str">
        <f>"025 "</f>
        <v xml:space="preserve">025 </v>
      </c>
      <c r="F29" t="s">
        <v>69</v>
      </c>
      <c r="G29" s="1">
        <v>32000</v>
      </c>
      <c r="H29" t="s">
        <v>33</v>
      </c>
      <c r="I29" t="s">
        <v>34</v>
      </c>
      <c r="J29" s="1">
        <v>29569.03</v>
      </c>
    </row>
    <row r="30" spans="1:10" x14ac:dyDescent="0.25">
      <c r="A30" t="str">
        <f t="shared" si="0"/>
        <v>07/20/20</v>
      </c>
      <c r="B30" t="s">
        <v>70</v>
      </c>
      <c r="C30" t="str">
        <f>"21223"</f>
        <v>21223</v>
      </c>
      <c r="D30" t="str">
        <f>"0128 "</f>
        <v xml:space="preserve">0128 </v>
      </c>
      <c r="E30" t="str">
        <f>"029 "</f>
        <v xml:space="preserve">029 </v>
      </c>
      <c r="F30" t="s">
        <v>71</v>
      </c>
      <c r="G30" s="1">
        <v>4000</v>
      </c>
      <c r="H30" t="s">
        <v>33</v>
      </c>
      <c r="I30" t="s">
        <v>34</v>
      </c>
      <c r="J30" s="1">
        <v>63450.02</v>
      </c>
    </row>
    <row r="31" spans="1:10" x14ac:dyDescent="0.25">
      <c r="A31" t="str">
        <f t="shared" si="0"/>
        <v>07/20/20</v>
      </c>
      <c r="B31" t="s">
        <v>72</v>
      </c>
      <c r="C31" t="str">
        <f>"00000"</f>
        <v>00000</v>
      </c>
      <c r="D31" t="str">
        <f>"4267 "</f>
        <v xml:space="preserve">4267 </v>
      </c>
      <c r="E31" t="str">
        <f>"017 "</f>
        <v xml:space="preserve">017 </v>
      </c>
      <c r="F31" t="s">
        <v>73</v>
      </c>
      <c r="G31" s="1">
        <v>5400</v>
      </c>
      <c r="H31" t="s">
        <v>74</v>
      </c>
      <c r="I31" t="s">
        <v>15</v>
      </c>
      <c r="J31" s="1">
        <v>8721.61</v>
      </c>
    </row>
    <row r="32" spans="1:10" x14ac:dyDescent="0.25">
      <c r="A32" t="str">
        <f t="shared" si="0"/>
        <v>07/20/20</v>
      </c>
      <c r="B32" t="s">
        <v>75</v>
      </c>
      <c r="C32" t="str">
        <f t="shared" ref="C32:C37" si="3">"21216"</f>
        <v>21216</v>
      </c>
      <c r="D32" t="str">
        <f>"2475 "</f>
        <v xml:space="preserve">2475 </v>
      </c>
      <c r="E32" t="str">
        <f>"030 "</f>
        <v xml:space="preserve">030 </v>
      </c>
      <c r="F32" t="s">
        <v>76</v>
      </c>
      <c r="G32" s="1">
        <v>61200</v>
      </c>
      <c r="H32" t="s">
        <v>14</v>
      </c>
      <c r="I32" t="s">
        <v>34</v>
      </c>
      <c r="J32" s="1">
        <v>32894.26</v>
      </c>
    </row>
    <row r="33" spans="1:10" x14ac:dyDescent="0.25">
      <c r="A33" t="str">
        <f t="shared" si="0"/>
        <v>07/20/20</v>
      </c>
      <c r="B33" t="s">
        <v>77</v>
      </c>
      <c r="C33" t="str">
        <f t="shared" si="3"/>
        <v>21216</v>
      </c>
      <c r="D33" t="str">
        <f>"2402 "</f>
        <v xml:space="preserve">2402 </v>
      </c>
      <c r="E33" t="str">
        <f>"031 "</f>
        <v xml:space="preserve">031 </v>
      </c>
      <c r="F33" t="s">
        <v>78</v>
      </c>
      <c r="G33" s="1">
        <v>19000</v>
      </c>
      <c r="H33" t="s">
        <v>14</v>
      </c>
      <c r="I33" t="s">
        <v>34</v>
      </c>
      <c r="J33" s="1">
        <v>21126.61</v>
      </c>
    </row>
    <row r="34" spans="1:10" x14ac:dyDescent="0.25">
      <c r="A34" t="str">
        <f t="shared" si="0"/>
        <v>07/20/20</v>
      </c>
      <c r="B34" t="s">
        <v>79</v>
      </c>
      <c r="C34" t="str">
        <f t="shared" si="3"/>
        <v>21216</v>
      </c>
      <c r="D34" t="str">
        <f>"2370 "</f>
        <v xml:space="preserve">2370 </v>
      </c>
      <c r="E34" t="str">
        <f>"009 "</f>
        <v xml:space="preserve">009 </v>
      </c>
      <c r="F34" t="s">
        <v>80</v>
      </c>
      <c r="G34" s="1">
        <v>3000</v>
      </c>
      <c r="H34" t="s">
        <v>14</v>
      </c>
      <c r="I34" t="s">
        <v>15</v>
      </c>
      <c r="J34" s="1">
        <v>11550.49</v>
      </c>
    </row>
    <row r="35" spans="1:10" x14ac:dyDescent="0.25">
      <c r="A35" t="str">
        <f t="shared" si="0"/>
        <v>07/20/20</v>
      </c>
      <c r="B35" t="s">
        <v>81</v>
      </c>
      <c r="C35" t="str">
        <f t="shared" si="3"/>
        <v>21216</v>
      </c>
      <c r="D35" t="str">
        <f>"2377C"</f>
        <v>2377C</v>
      </c>
      <c r="E35" t="str">
        <f>"060 "</f>
        <v xml:space="preserve">060 </v>
      </c>
      <c r="F35" t="s">
        <v>82</v>
      </c>
      <c r="G35" s="1">
        <v>7000</v>
      </c>
      <c r="H35" t="s">
        <v>33</v>
      </c>
      <c r="I35" t="s">
        <v>34</v>
      </c>
      <c r="J35" s="1">
        <v>28973.759999999998</v>
      </c>
    </row>
    <row r="36" spans="1:10" x14ac:dyDescent="0.25">
      <c r="A36" t="str">
        <f t="shared" si="0"/>
        <v>07/20/20</v>
      </c>
      <c r="B36" t="s">
        <v>83</v>
      </c>
      <c r="C36" t="str">
        <f t="shared" si="3"/>
        <v>21216</v>
      </c>
      <c r="D36" t="str">
        <f>"2396B"</f>
        <v>2396B</v>
      </c>
      <c r="E36" t="str">
        <f>"011 "</f>
        <v xml:space="preserve">011 </v>
      </c>
      <c r="F36" t="s">
        <v>84</v>
      </c>
      <c r="G36" s="1">
        <v>3000</v>
      </c>
      <c r="H36" t="s">
        <v>14</v>
      </c>
      <c r="I36" t="s">
        <v>34</v>
      </c>
      <c r="J36" s="1">
        <v>8420.1299999999992</v>
      </c>
    </row>
    <row r="37" spans="1:10" x14ac:dyDescent="0.25">
      <c r="A37" t="str">
        <f t="shared" si="0"/>
        <v>07/20/20</v>
      </c>
      <c r="B37" t="s">
        <v>85</v>
      </c>
      <c r="C37" t="str">
        <f t="shared" si="3"/>
        <v>21216</v>
      </c>
      <c r="D37" t="str">
        <f>"2396B"</f>
        <v>2396B</v>
      </c>
      <c r="E37" t="str">
        <f>"017 "</f>
        <v xml:space="preserve">017 </v>
      </c>
      <c r="F37" t="s">
        <v>86</v>
      </c>
      <c r="G37" s="1">
        <v>30000</v>
      </c>
      <c r="H37" t="s">
        <v>14</v>
      </c>
      <c r="I37" t="s">
        <v>34</v>
      </c>
      <c r="J37" s="1">
        <v>85595.05</v>
      </c>
    </row>
    <row r="38" spans="1:10" x14ac:dyDescent="0.25">
      <c r="A38" t="str">
        <f t="shared" si="0"/>
        <v>07/20/20</v>
      </c>
      <c r="B38" t="s">
        <v>87</v>
      </c>
      <c r="C38" t="str">
        <f>"21225"</f>
        <v>21225</v>
      </c>
      <c r="D38" t="str">
        <f>"7132 "</f>
        <v xml:space="preserve">7132 </v>
      </c>
      <c r="E38" t="str">
        <f>"029 "</f>
        <v xml:space="preserve">029 </v>
      </c>
      <c r="F38" t="s">
        <v>88</v>
      </c>
      <c r="G38" s="1">
        <v>57300</v>
      </c>
      <c r="H38" t="s">
        <v>14</v>
      </c>
      <c r="I38" t="s">
        <v>15</v>
      </c>
      <c r="J38" s="1">
        <v>30810.77</v>
      </c>
    </row>
    <row r="39" spans="1:10" x14ac:dyDescent="0.25">
      <c r="A39" t="str">
        <f t="shared" si="0"/>
        <v>07/20/20</v>
      </c>
      <c r="B39" t="s">
        <v>89</v>
      </c>
      <c r="C39" t="str">
        <f>"21229"</f>
        <v>21229</v>
      </c>
      <c r="D39" t="str">
        <f>"2548 "</f>
        <v xml:space="preserve">2548 </v>
      </c>
      <c r="E39" t="str">
        <f>"007 "</f>
        <v xml:space="preserve">007 </v>
      </c>
      <c r="F39" t="s">
        <v>90</v>
      </c>
      <c r="G39" s="1">
        <v>10000</v>
      </c>
      <c r="H39" t="s">
        <v>91</v>
      </c>
      <c r="I39" t="s">
        <v>15</v>
      </c>
      <c r="J39" s="1">
        <v>104372.6</v>
      </c>
    </row>
    <row r="40" spans="1:10" x14ac:dyDescent="0.25">
      <c r="A40" t="str">
        <f t="shared" si="0"/>
        <v>07/20/20</v>
      </c>
      <c r="B40" t="s">
        <v>92</v>
      </c>
      <c r="C40" t="str">
        <f>"21229"</f>
        <v>21229</v>
      </c>
      <c r="D40" t="str">
        <f>"2532 "</f>
        <v xml:space="preserve">2532 </v>
      </c>
      <c r="E40" t="str">
        <f>"024 "</f>
        <v xml:space="preserve">024 </v>
      </c>
      <c r="F40" t="s">
        <v>93</v>
      </c>
      <c r="G40" s="1">
        <v>3700</v>
      </c>
      <c r="H40" t="s">
        <v>14</v>
      </c>
      <c r="I40" t="s">
        <v>15</v>
      </c>
      <c r="J40" s="1">
        <v>5622.05</v>
      </c>
    </row>
    <row r="41" spans="1:10" x14ac:dyDescent="0.25">
      <c r="A41" t="str">
        <f t="shared" si="0"/>
        <v>07/20/20</v>
      </c>
      <c r="B41" t="s">
        <v>94</v>
      </c>
      <c r="C41" t="str">
        <f>"21229"</f>
        <v>21229</v>
      </c>
      <c r="D41" t="str">
        <f>"2533 "</f>
        <v xml:space="preserve">2533 </v>
      </c>
      <c r="E41" t="str">
        <f>"021 "</f>
        <v xml:space="preserve">021 </v>
      </c>
      <c r="F41" t="s">
        <v>95</v>
      </c>
      <c r="G41" s="1">
        <v>109100</v>
      </c>
      <c r="H41" t="s">
        <v>14</v>
      </c>
      <c r="I41" t="s">
        <v>15</v>
      </c>
      <c r="J41" s="1">
        <v>73432.740000000005</v>
      </c>
    </row>
    <row r="42" spans="1:10" x14ac:dyDescent="0.25">
      <c r="A42" t="str">
        <f t="shared" si="0"/>
        <v>07/20/20</v>
      </c>
      <c r="B42" t="s">
        <v>96</v>
      </c>
      <c r="C42" t="str">
        <f>"21216"</f>
        <v>21216</v>
      </c>
      <c r="D42" t="str">
        <f>"2408 "</f>
        <v xml:space="preserve">2408 </v>
      </c>
      <c r="E42" t="str">
        <f>"002 "</f>
        <v xml:space="preserve">002 </v>
      </c>
      <c r="F42" t="s">
        <v>97</v>
      </c>
      <c r="G42" s="1">
        <v>30000</v>
      </c>
      <c r="H42" t="s">
        <v>14</v>
      </c>
      <c r="I42" t="s">
        <v>34</v>
      </c>
      <c r="J42" s="1">
        <v>29072.67</v>
      </c>
    </row>
    <row r="43" spans="1:10" x14ac:dyDescent="0.25">
      <c r="A43" t="str">
        <f t="shared" si="0"/>
        <v>07/20/20</v>
      </c>
      <c r="B43" t="s">
        <v>98</v>
      </c>
      <c r="C43" t="str">
        <f>"21216"</f>
        <v>21216</v>
      </c>
      <c r="D43" t="str">
        <f>"2440 "</f>
        <v xml:space="preserve">2440 </v>
      </c>
      <c r="E43" t="str">
        <f>"006 "</f>
        <v xml:space="preserve">006 </v>
      </c>
      <c r="F43" t="s">
        <v>99</v>
      </c>
      <c r="G43" s="1">
        <v>6000</v>
      </c>
      <c r="H43" t="s">
        <v>14</v>
      </c>
      <c r="I43" t="s">
        <v>15</v>
      </c>
      <c r="J43" s="1">
        <v>81537.61</v>
      </c>
    </row>
    <row r="44" spans="1:10" x14ac:dyDescent="0.25">
      <c r="A44" t="str">
        <f t="shared" si="0"/>
        <v>07/20/20</v>
      </c>
      <c r="B44" t="s">
        <v>100</v>
      </c>
      <c r="C44" t="str">
        <f>"21216"</f>
        <v>21216</v>
      </c>
      <c r="D44" t="str">
        <f>"2451 "</f>
        <v xml:space="preserve">2451 </v>
      </c>
      <c r="E44" t="str">
        <f>"039 "</f>
        <v xml:space="preserve">039 </v>
      </c>
      <c r="F44" t="s">
        <v>101</v>
      </c>
      <c r="G44" s="1">
        <v>6000</v>
      </c>
      <c r="H44" t="s">
        <v>14</v>
      </c>
      <c r="I44" t="s">
        <v>34</v>
      </c>
      <c r="J44" s="1">
        <v>15985.79</v>
      </c>
    </row>
    <row r="45" spans="1:10" x14ac:dyDescent="0.25">
      <c r="A45" t="str">
        <f t="shared" si="0"/>
        <v>07/20/20</v>
      </c>
      <c r="B45" t="s">
        <v>102</v>
      </c>
      <c r="C45" t="str">
        <f>"21216"</f>
        <v>21216</v>
      </c>
      <c r="D45" t="str">
        <f>"2451 "</f>
        <v xml:space="preserve">2451 </v>
      </c>
      <c r="E45" t="str">
        <f>"035 "</f>
        <v xml:space="preserve">035 </v>
      </c>
      <c r="F45" t="s">
        <v>103</v>
      </c>
      <c r="G45" s="1">
        <v>25000</v>
      </c>
      <c r="H45" t="s">
        <v>14</v>
      </c>
      <c r="I45" t="s">
        <v>34</v>
      </c>
      <c r="J45" s="1">
        <v>68679.41</v>
      </c>
    </row>
    <row r="46" spans="1:10" x14ac:dyDescent="0.25">
      <c r="A46" t="str">
        <f t="shared" si="0"/>
        <v>07/20/20</v>
      </c>
      <c r="B46" t="s">
        <v>104</v>
      </c>
      <c r="C46" t="str">
        <f>"21217"</f>
        <v>21217</v>
      </c>
      <c r="D46" t="str">
        <f>"2325 "</f>
        <v xml:space="preserve">2325 </v>
      </c>
      <c r="E46" t="str">
        <f>"015 "</f>
        <v xml:space="preserve">015 </v>
      </c>
      <c r="F46" t="s">
        <v>105</v>
      </c>
      <c r="G46" s="1">
        <v>14100</v>
      </c>
      <c r="H46" t="s">
        <v>14</v>
      </c>
      <c r="I46" t="s">
        <v>15</v>
      </c>
      <c r="J46" s="1">
        <v>159825.17000000001</v>
      </c>
    </row>
    <row r="47" spans="1:10" x14ac:dyDescent="0.25">
      <c r="A47" t="str">
        <f t="shared" si="0"/>
        <v>07/20/20</v>
      </c>
      <c r="B47" t="s">
        <v>106</v>
      </c>
      <c r="C47" t="str">
        <f>"21225"</f>
        <v>21225</v>
      </c>
      <c r="D47" t="str">
        <f>"7055 "</f>
        <v xml:space="preserve">7055 </v>
      </c>
      <c r="E47" t="str">
        <f>"012 "</f>
        <v xml:space="preserve">012 </v>
      </c>
      <c r="F47" t="s">
        <v>107</v>
      </c>
      <c r="G47" s="1">
        <v>40000</v>
      </c>
      <c r="H47" t="s">
        <v>14</v>
      </c>
      <c r="I47" t="s">
        <v>34</v>
      </c>
      <c r="J47" s="1">
        <v>9918.23</v>
      </c>
    </row>
    <row r="48" spans="1:10" x14ac:dyDescent="0.25">
      <c r="A48" t="str">
        <f t="shared" si="0"/>
        <v>07/20/20</v>
      </c>
      <c r="B48" t="s">
        <v>108</v>
      </c>
      <c r="C48" t="str">
        <f t="shared" ref="C48:C53" si="4">"21223"</f>
        <v>21223</v>
      </c>
      <c r="D48" t="str">
        <f>"2165 "</f>
        <v xml:space="preserve">2165 </v>
      </c>
      <c r="E48" t="str">
        <f>"053 "</f>
        <v xml:space="preserve">053 </v>
      </c>
      <c r="F48" t="s">
        <v>109</v>
      </c>
      <c r="G48" s="1">
        <v>30000</v>
      </c>
      <c r="H48" t="s">
        <v>33</v>
      </c>
      <c r="I48" t="s">
        <v>34</v>
      </c>
      <c r="J48" s="1">
        <v>11691</v>
      </c>
    </row>
    <row r="49" spans="1:10" x14ac:dyDescent="0.25">
      <c r="A49" t="str">
        <f t="shared" si="0"/>
        <v>07/20/20</v>
      </c>
      <c r="B49" t="s">
        <v>110</v>
      </c>
      <c r="C49" t="str">
        <f t="shared" si="4"/>
        <v>21223</v>
      </c>
      <c r="D49" t="str">
        <f>"2165 "</f>
        <v xml:space="preserve">2165 </v>
      </c>
      <c r="E49" t="str">
        <f>"036 "</f>
        <v xml:space="preserve">036 </v>
      </c>
      <c r="F49" t="s">
        <v>111</v>
      </c>
      <c r="G49" s="1">
        <v>6000</v>
      </c>
      <c r="H49" t="s">
        <v>33</v>
      </c>
      <c r="I49" t="s">
        <v>34</v>
      </c>
      <c r="J49" s="1">
        <v>41262.97</v>
      </c>
    </row>
    <row r="50" spans="1:10" x14ac:dyDescent="0.25">
      <c r="A50" t="str">
        <f t="shared" si="0"/>
        <v>07/20/20</v>
      </c>
      <c r="B50" t="s">
        <v>112</v>
      </c>
      <c r="C50" t="str">
        <f t="shared" si="4"/>
        <v>21223</v>
      </c>
      <c r="D50" t="str">
        <f>"2165 "</f>
        <v xml:space="preserve">2165 </v>
      </c>
      <c r="E50" t="str">
        <f>"035 "</f>
        <v xml:space="preserve">035 </v>
      </c>
      <c r="F50" t="s">
        <v>113</v>
      </c>
      <c r="G50" s="1">
        <v>6000</v>
      </c>
      <c r="H50" t="s">
        <v>33</v>
      </c>
      <c r="I50" t="s">
        <v>34</v>
      </c>
      <c r="J50" s="1">
        <v>495.85</v>
      </c>
    </row>
    <row r="51" spans="1:10" x14ac:dyDescent="0.25">
      <c r="A51" t="str">
        <f t="shared" si="0"/>
        <v>07/20/20</v>
      </c>
      <c r="B51" t="s">
        <v>114</v>
      </c>
      <c r="C51" t="str">
        <f t="shared" si="4"/>
        <v>21223</v>
      </c>
      <c r="D51" t="str">
        <f>"2171 "</f>
        <v xml:space="preserve">2171 </v>
      </c>
      <c r="E51" t="str">
        <f>"010 "</f>
        <v xml:space="preserve">010 </v>
      </c>
      <c r="F51" t="s">
        <v>115</v>
      </c>
      <c r="G51" s="1">
        <v>16200</v>
      </c>
      <c r="H51" t="s">
        <v>33</v>
      </c>
      <c r="I51" t="s">
        <v>34</v>
      </c>
      <c r="J51" s="1">
        <v>14630.7</v>
      </c>
    </row>
    <row r="52" spans="1:10" x14ac:dyDescent="0.25">
      <c r="A52" t="str">
        <f t="shared" si="0"/>
        <v>07/20/20</v>
      </c>
      <c r="B52" t="s">
        <v>116</v>
      </c>
      <c r="C52" t="str">
        <f t="shared" si="4"/>
        <v>21223</v>
      </c>
      <c r="D52" t="str">
        <f>"2153 "</f>
        <v xml:space="preserve">2153 </v>
      </c>
      <c r="E52" t="str">
        <f>"093 "</f>
        <v xml:space="preserve">093 </v>
      </c>
      <c r="F52" t="s">
        <v>117</v>
      </c>
      <c r="G52" s="1">
        <v>17000</v>
      </c>
      <c r="H52" t="s">
        <v>33</v>
      </c>
      <c r="I52" t="s">
        <v>34</v>
      </c>
      <c r="J52" s="1">
        <v>22953.49</v>
      </c>
    </row>
    <row r="53" spans="1:10" x14ac:dyDescent="0.25">
      <c r="A53" t="str">
        <f t="shared" si="0"/>
        <v>07/20/20</v>
      </c>
      <c r="B53" t="s">
        <v>118</v>
      </c>
      <c r="C53" t="str">
        <f t="shared" si="4"/>
        <v>21223</v>
      </c>
      <c r="D53" t="str">
        <f>"0204 "</f>
        <v xml:space="preserve">0204 </v>
      </c>
      <c r="E53" t="str">
        <f>"009 "</f>
        <v xml:space="preserve">009 </v>
      </c>
      <c r="F53" t="s">
        <v>119</v>
      </c>
      <c r="G53" s="1">
        <v>10200</v>
      </c>
      <c r="H53" t="s">
        <v>33</v>
      </c>
      <c r="I53" t="s">
        <v>34</v>
      </c>
      <c r="J53" s="1">
        <v>43580.15</v>
      </c>
    </row>
    <row r="54" spans="1:10" x14ac:dyDescent="0.25">
      <c r="A54" t="str">
        <f t="shared" si="0"/>
        <v>07/20/20</v>
      </c>
      <c r="B54" t="s">
        <v>120</v>
      </c>
      <c r="C54" t="str">
        <f>"21215"</f>
        <v>21215</v>
      </c>
      <c r="D54" t="str">
        <f>"3100B"</f>
        <v>3100B</v>
      </c>
      <c r="E54" t="str">
        <f>"038 "</f>
        <v xml:space="preserve">038 </v>
      </c>
      <c r="F54" t="s">
        <v>121</v>
      </c>
      <c r="G54" s="1">
        <v>137600</v>
      </c>
      <c r="H54" t="s">
        <v>14</v>
      </c>
      <c r="I54" t="s">
        <v>15</v>
      </c>
      <c r="J54" s="1">
        <v>122510.57</v>
      </c>
    </row>
    <row r="55" spans="1:10" x14ac:dyDescent="0.25">
      <c r="A55" t="str">
        <f t="shared" si="0"/>
        <v>07/20/20</v>
      </c>
      <c r="B55" t="s">
        <v>122</v>
      </c>
      <c r="C55" t="str">
        <f>"21216"</f>
        <v>21216</v>
      </c>
      <c r="D55" t="str">
        <f>"2835A"</f>
        <v>2835A</v>
      </c>
      <c r="E55" t="str">
        <f>"007 "</f>
        <v xml:space="preserve">007 </v>
      </c>
      <c r="F55" t="s">
        <v>123</v>
      </c>
      <c r="G55" s="1">
        <v>10900</v>
      </c>
      <c r="H55" t="s">
        <v>124</v>
      </c>
      <c r="I55" t="s">
        <v>15</v>
      </c>
      <c r="J55" s="1">
        <v>280704.58</v>
      </c>
    </row>
    <row r="56" spans="1:10" x14ac:dyDescent="0.25">
      <c r="A56" t="str">
        <f t="shared" si="0"/>
        <v>07/20/20</v>
      </c>
      <c r="B56" t="s">
        <v>125</v>
      </c>
      <c r="C56" t="str">
        <f>"21215"</f>
        <v>21215</v>
      </c>
      <c r="D56" t="str">
        <f>"4577A"</f>
        <v>4577A</v>
      </c>
      <c r="E56" t="str">
        <f>"019 "</f>
        <v xml:space="preserve">019 </v>
      </c>
      <c r="F56" t="s">
        <v>126</v>
      </c>
      <c r="G56" s="1">
        <v>5000</v>
      </c>
      <c r="H56" t="s">
        <v>14</v>
      </c>
      <c r="I56" t="s">
        <v>15</v>
      </c>
      <c r="J56" s="1">
        <v>38649.31</v>
      </c>
    </row>
    <row r="57" spans="1:10" x14ac:dyDescent="0.25">
      <c r="A57" t="str">
        <f t="shared" si="0"/>
        <v>07/20/20</v>
      </c>
      <c r="B57" t="s">
        <v>127</v>
      </c>
      <c r="C57" t="str">
        <f>"21215"</f>
        <v>21215</v>
      </c>
      <c r="D57" t="str">
        <f>"4577A"</f>
        <v>4577A</v>
      </c>
      <c r="E57" t="str">
        <f>"020 "</f>
        <v xml:space="preserve">020 </v>
      </c>
      <c r="F57" t="s">
        <v>128</v>
      </c>
      <c r="G57" s="1">
        <v>5000</v>
      </c>
      <c r="H57" t="s">
        <v>14</v>
      </c>
      <c r="I57" t="s">
        <v>15</v>
      </c>
      <c r="J57" s="1">
        <v>23670.639999999999</v>
      </c>
    </row>
    <row r="58" spans="1:10" x14ac:dyDescent="0.25">
      <c r="A58" t="str">
        <f t="shared" si="0"/>
        <v>07/20/20</v>
      </c>
      <c r="B58" t="s">
        <v>129</v>
      </c>
      <c r="C58" t="str">
        <f>"21215"</f>
        <v>21215</v>
      </c>
      <c r="D58" t="str">
        <f>"4544C"</f>
        <v>4544C</v>
      </c>
      <c r="E58" t="str">
        <f>"028 "</f>
        <v xml:space="preserve">028 </v>
      </c>
      <c r="F58" t="s">
        <v>130</v>
      </c>
      <c r="G58" s="1">
        <v>6000</v>
      </c>
      <c r="H58" t="s">
        <v>91</v>
      </c>
      <c r="I58" t="s">
        <v>34</v>
      </c>
      <c r="J58" s="1">
        <v>4154.13</v>
      </c>
    </row>
    <row r="59" spans="1:10" x14ac:dyDescent="0.25">
      <c r="A59" t="str">
        <f t="shared" si="0"/>
        <v>07/20/20</v>
      </c>
      <c r="B59" t="s">
        <v>131</v>
      </c>
      <c r="C59" t="str">
        <f>"21215"</f>
        <v>21215</v>
      </c>
      <c r="D59" t="str">
        <f>"4606 "</f>
        <v xml:space="preserve">4606 </v>
      </c>
      <c r="E59" t="str">
        <f>"026 "</f>
        <v xml:space="preserve">026 </v>
      </c>
      <c r="F59" t="s">
        <v>132</v>
      </c>
      <c r="G59" s="1">
        <v>30000</v>
      </c>
      <c r="H59" t="s">
        <v>14</v>
      </c>
      <c r="I59" t="s">
        <v>15</v>
      </c>
      <c r="J59" s="1">
        <v>76396.37</v>
      </c>
    </row>
    <row r="60" spans="1:10" x14ac:dyDescent="0.25">
      <c r="A60" t="str">
        <f t="shared" si="0"/>
        <v>07/20/20</v>
      </c>
      <c r="B60" t="s">
        <v>133</v>
      </c>
      <c r="C60" t="str">
        <f>"21215"</f>
        <v>21215</v>
      </c>
      <c r="D60" t="str">
        <f>"4550 "</f>
        <v xml:space="preserve">4550 </v>
      </c>
      <c r="E60" t="str">
        <f>"019 "</f>
        <v xml:space="preserve">019 </v>
      </c>
      <c r="F60" t="s">
        <v>134</v>
      </c>
      <c r="G60" s="1">
        <v>6000</v>
      </c>
      <c r="H60" t="s">
        <v>91</v>
      </c>
      <c r="I60" t="s">
        <v>34</v>
      </c>
      <c r="J60" s="1">
        <v>3376.21</v>
      </c>
    </row>
    <row r="61" spans="1:10" x14ac:dyDescent="0.25">
      <c r="A61" t="str">
        <f t="shared" si="0"/>
        <v>07/20/20</v>
      </c>
      <c r="B61" t="s">
        <v>135</v>
      </c>
      <c r="C61" t="str">
        <f>"21212"</f>
        <v>21212</v>
      </c>
      <c r="D61" t="str">
        <f>"5173 "</f>
        <v xml:space="preserve">5173 </v>
      </c>
      <c r="E61" t="str">
        <f>"014 "</f>
        <v xml:space="preserve">014 </v>
      </c>
      <c r="F61" t="s">
        <v>136</v>
      </c>
      <c r="G61" s="1">
        <v>23000</v>
      </c>
      <c r="H61" t="s">
        <v>137</v>
      </c>
      <c r="I61" t="s">
        <v>15</v>
      </c>
      <c r="J61" s="1">
        <v>94883.520000000004</v>
      </c>
    </row>
    <row r="62" spans="1:10" x14ac:dyDescent="0.25">
      <c r="A62" t="str">
        <f t="shared" si="0"/>
        <v>07/20/20</v>
      </c>
      <c r="B62" t="s">
        <v>138</v>
      </c>
      <c r="C62" t="str">
        <f>"21212"</f>
        <v>21212</v>
      </c>
      <c r="D62" t="str">
        <f>"5165 "</f>
        <v xml:space="preserve">5165 </v>
      </c>
      <c r="E62" t="str">
        <f>"027 "</f>
        <v xml:space="preserve">027 </v>
      </c>
      <c r="F62" t="s">
        <v>139</v>
      </c>
      <c r="G62" s="1">
        <v>111600</v>
      </c>
      <c r="H62" t="s">
        <v>137</v>
      </c>
      <c r="I62" t="s">
        <v>15</v>
      </c>
      <c r="J62" s="1">
        <v>9849.08</v>
      </c>
    </row>
    <row r="63" spans="1:10" x14ac:dyDescent="0.25">
      <c r="A63" t="str">
        <f t="shared" si="0"/>
        <v>07/20/20</v>
      </c>
      <c r="B63" t="s">
        <v>140</v>
      </c>
      <c r="C63" t="str">
        <f>"21206"</f>
        <v>21206</v>
      </c>
      <c r="D63" t="str">
        <f>"5930 "</f>
        <v xml:space="preserve">5930 </v>
      </c>
      <c r="E63" t="str">
        <f>"034 "</f>
        <v xml:space="preserve">034 </v>
      </c>
      <c r="F63" t="s">
        <v>141</v>
      </c>
      <c r="G63" s="1">
        <v>35300</v>
      </c>
      <c r="H63" t="s">
        <v>142</v>
      </c>
      <c r="I63" t="s">
        <v>34</v>
      </c>
      <c r="J63" s="1">
        <v>14611.7</v>
      </c>
    </row>
    <row r="64" spans="1:10" x14ac:dyDescent="0.25">
      <c r="A64" t="str">
        <f t="shared" si="0"/>
        <v>07/20/20</v>
      </c>
      <c r="B64" t="s">
        <v>143</v>
      </c>
      <c r="C64" t="str">
        <f>"21216"</f>
        <v>21216</v>
      </c>
      <c r="D64" t="str">
        <f>"2454C"</f>
        <v>2454C</v>
      </c>
      <c r="E64" t="str">
        <f>"005 "</f>
        <v xml:space="preserve">005 </v>
      </c>
      <c r="F64" t="s">
        <v>144</v>
      </c>
      <c r="G64" s="1">
        <v>10200</v>
      </c>
      <c r="H64" t="s">
        <v>14</v>
      </c>
      <c r="I64" t="s">
        <v>34</v>
      </c>
      <c r="J64" s="1">
        <v>21188.51</v>
      </c>
    </row>
    <row r="65" spans="1:10" x14ac:dyDescent="0.25">
      <c r="A65" t="str">
        <f t="shared" si="0"/>
        <v>07/20/20</v>
      </c>
      <c r="B65" t="s">
        <v>145</v>
      </c>
      <c r="C65" t="str">
        <f>"21216"</f>
        <v>21216</v>
      </c>
      <c r="D65" t="str">
        <f>"2454C"</f>
        <v>2454C</v>
      </c>
      <c r="E65" t="str">
        <f>"007 "</f>
        <v xml:space="preserve">007 </v>
      </c>
      <c r="F65" t="s">
        <v>146</v>
      </c>
      <c r="G65" s="1">
        <v>25000</v>
      </c>
      <c r="H65" t="s">
        <v>14</v>
      </c>
      <c r="I65" t="s">
        <v>15</v>
      </c>
      <c r="J65" s="1">
        <v>15675.8</v>
      </c>
    </row>
    <row r="66" spans="1:10" x14ac:dyDescent="0.25">
      <c r="A66" t="str">
        <f t="shared" si="0"/>
        <v>07/20/20</v>
      </c>
      <c r="B66" t="s">
        <v>147</v>
      </c>
      <c r="C66" t="str">
        <f>"21216"</f>
        <v>21216</v>
      </c>
      <c r="D66" t="str">
        <f>"2443A"</f>
        <v>2443A</v>
      </c>
      <c r="E66" t="str">
        <f>"035 "</f>
        <v xml:space="preserve">035 </v>
      </c>
      <c r="F66" t="s">
        <v>148</v>
      </c>
      <c r="G66" s="1">
        <v>11000</v>
      </c>
      <c r="H66" t="s">
        <v>14</v>
      </c>
      <c r="I66" t="s">
        <v>34</v>
      </c>
      <c r="J66" s="1">
        <v>78535.34</v>
      </c>
    </row>
    <row r="67" spans="1:10" x14ac:dyDescent="0.25">
      <c r="A67" t="str">
        <f t="shared" ref="A67:A130" si="5">"07/20/20"</f>
        <v>07/20/20</v>
      </c>
      <c r="B67" t="s">
        <v>149</v>
      </c>
      <c r="C67" t="str">
        <f>"21216"</f>
        <v>21216</v>
      </c>
      <c r="D67" t="str">
        <f>"2443A"</f>
        <v>2443A</v>
      </c>
      <c r="E67" t="str">
        <f>"022 "</f>
        <v xml:space="preserve">022 </v>
      </c>
      <c r="F67" t="s">
        <v>150</v>
      </c>
      <c r="G67" s="1">
        <v>11000</v>
      </c>
      <c r="H67" t="s">
        <v>14</v>
      </c>
      <c r="I67" t="s">
        <v>34</v>
      </c>
      <c r="J67" s="1">
        <v>25990.47</v>
      </c>
    </row>
    <row r="68" spans="1:10" x14ac:dyDescent="0.25">
      <c r="A68" t="str">
        <f t="shared" si="5"/>
        <v>07/20/20</v>
      </c>
      <c r="B68" t="s">
        <v>151</v>
      </c>
      <c r="C68" t="str">
        <f>"21216"</f>
        <v>21216</v>
      </c>
      <c r="D68" t="str">
        <f>"2332D"</f>
        <v>2332D</v>
      </c>
      <c r="E68" t="str">
        <f>"040 "</f>
        <v xml:space="preserve">040 </v>
      </c>
      <c r="F68" t="s">
        <v>152</v>
      </c>
      <c r="G68" s="1">
        <v>10200</v>
      </c>
      <c r="H68" t="s">
        <v>14</v>
      </c>
      <c r="I68" t="s">
        <v>34</v>
      </c>
      <c r="J68" s="1">
        <v>10865.78</v>
      </c>
    </row>
    <row r="69" spans="1:10" x14ac:dyDescent="0.25">
      <c r="A69" t="str">
        <f t="shared" si="5"/>
        <v>07/20/20</v>
      </c>
      <c r="B69" t="s">
        <v>153</v>
      </c>
      <c r="C69" t="str">
        <f>"21205"</f>
        <v>21205</v>
      </c>
      <c r="D69" t="str">
        <f>"1611 "</f>
        <v xml:space="preserve">1611 </v>
      </c>
      <c r="E69" t="str">
        <f>"059 "</f>
        <v xml:space="preserve">059 </v>
      </c>
      <c r="F69" t="s">
        <v>154</v>
      </c>
      <c r="G69" s="1">
        <v>2000</v>
      </c>
      <c r="H69" t="s">
        <v>33</v>
      </c>
      <c r="I69" t="s">
        <v>15</v>
      </c>
      <c r="J69" s="1">
        <v>25303.57</v>
      </c>
    </row>
    <row r="70" spans="1:10" x14ac:dyDescent="0.25">
      <c r="A70" t="str">
        <f t="shared" si="5"/>
        <v>07/20/20</v>
      </c>
      <c r="B70" t="s">
        <v>155</v>
      </c>
      <c r="C70" t="str">
        <f>"21215"</f>
        <v>21215</v>
      </c>
      <c r="D70" t="str">
        <f>"2700 "</f>
        <v xml:space="preserve">2700 </v>
      </c>
      <c r="E70" t="str">
        <f>"007 "</f>
        <v xml:space="preserve">007 </v>
      </c>
      <c r="F70" t="s">
        <v>156</v>
      </c>
      <c r="G70" s="1">
        <v>176300</v>
      </c>
      <c r="H70" t="s">
        <v>91</v>
      </c>
      <c r="I70" t="s">
        <v>15</v>
      </c>
      <c r="J70" s="1">
        <v>75574.929999999993</v>
      </c>
    </row>
    <row r="71" spans="1:10" x14ac:dyDescent="0.25">
      <c r="A71" t="str">
        <f t="shared" si="5"/>
        <v>07/20/20</v>
      </c>
      <c r="B71" t="s">
        <v>157</v>
      </c>
      <c r="C71" t="str">
        <f>"21215"</f>
        <v>21215</v>
      </c>
      <c r="D71" t="str">
        <f>"4552 "</f>
        <v xml:space="preserve">4552 </v>
      </c>
      <c r="E71" t="str">
        <f>"039 "</f>
        <v xml:space="preserve">039 </v>
      </c>
      <c r="F71" t="s">
        <v>158</v>
      </c>
      <c r="G71" s="1">
        <v>17000</v>
      </c>
      <c r="H71" t="s">
        <v>14</v>
      </c>
      <c r="I71" t="s">
        <v>15</v>
      </c>
      <c r="J71" s="1">
        <v>15886.69</v>
      </c>
    </row>
    <row r="72" spans="1:10" x14ac:dyDescent="0.25">
      <c r="A72" t="str">
        <f t="shared" si="5"/>
        <v>07/20/20</v>
      </c>
      <c r="B72" t="s">
        <v>159</v>
      </c>
      <c r="C72" t="str">
        <f>"21215"</f>
        <v>21215</v>
      </c>
      <c r="D72" t="str">
        <f>"4584 "</f>
        <v xml:space="preserve">4584 </v>
      </c>
      <c r="E72" t="str">
        <f>"013 "</f>
        <v xml:space="preserve">013 </v>
      </c>
      <c r="F72" t="s">
        <v>160</v>
      </c>
      <c r="G72" s="1">
        <v>1000</v>
      </c>
      <c r="H72" t="s">
        <v>161</v>
      </c>
      <c r="I72" t="s">
        <v>15</v>
      </c>
      <c r="J72" s="1">
        <v>16148.34</v>
      </c>
    </row>
    <row r="73" spans="1:10" x14ac:dyDescent="0.25">
      <c r="A73" t="str">
        <f t="shared" si="5"/>
        <v>07/20/20</v>
      </c>
      <c r="B73" t="s">
        <v>162</v>
      </c>
      <c r="C73" t="str">
        <f t="shared" ref="C73:C81" si="6">"21223"</f>
        <v>21223</v>
      </c>
      <c r="D73" t="str">
        <f>"0129 "</f>
        <v xml:space="preserve">0129 </v>
      </c>
      <c r="E73" t="str">
        <f>"064 "</f>
        <v xml:space="preserve">064 </v>
      </c>
      <c r="F73" t="s">
        <v>163</v>
      </c>
      <c r="G73" s="1">
        <v>4000</v>
      </c>
      <c r="H73" t="s">
        <v>33</v>
      </c>
      <c r="I73" t="s">
        <v>34</v>
      </c>
      <c r="J73" s="1">
        <v>8730.93</v>
      </c>
    </row>
    <row r="74" spans="1:10" x14ac:dyDescent="0.25">
      <c r="A74" t="str">
        <f t="shared" si="5"/>
        <v>07/20/20</v>
      </c>
      <c r="B74" t="s">
        <v>164</v>
      </c>
      <c r="C74" t="str">
        <f t="shared" si="6"/>
        <v>21223</v>
      </c>
      <c r="D74" t="str">
        <f>"0129 "</f>
        <v xml:space="preserve">0129 </v>
      </c>
      <c r="E74" t="str">
        <f>"088 "</f>
        <v xml:space="preserve">088 </v>
      </c>
      <c r="F74" t="s">
        <v>165</v>
      </c>
      <c r="G74" s="1">
        <v>4000</v>
      </c>
      <c r="H74" t="s">
        <v>33</v>
      </c>
      <c r="I74" t="s">
        <v>34</v>
      </c>
      <c r="J74" s="1">
        <v>40780.97</v>
      </c>
    </row>
    <row r="75" spans="1:10" x14ac:dyDescent="0.25">
      <c r="A75" t="str">
        <f t="shared" si="5"/>
        <v>07/20/20</v>
      </c>
      <c r="B75" t="s">
        <v>166</v>
      </c>
      <c r="C75" t="str">
        <f t="shared" si="6"/>
        <v>21223</v>
      </c>
      <c r="D75" t="str">
        <f>"0189 "</f>
        <v xml:space="preserve">0189 </v>
      </c>
      <c r="E75" t="str">
        <f>"008 "</f>
        <v xml:space="preserve">008 </v>
      </c>
      <c r="F75" t="s">
        <v>167</v>
      </c>
      <c r="G75" s="1">
        <v>3000</v>
      </c>
      <c r="H75" t="s">
        <v>33</v>
      </c>
      <c r="I75" t="s">
        <v>34</v>
      </c>
      <c r="J75" s="1">
        <v>19012.349999999999</v>
      </c>
    </row>
    <row r="76" spans="1:10" x14ac:dyDescent="0.25">
      <c r="A76" t="str">
        <f t="shared" si="5"/>
        <v>07/20/20</v>
      </c>
      <c r="B76" t="s">
        <v>168</v>
      </c>
      <c r="C76" t="str">
        <f t="shared" si="6"/>
        <v>21223</v>
      </c>
      <c r="D76" t="str">
        <f>"0189 "</f>
        <v xml:space="preserve">0189 </v>
      </c>
      <c r="E76" t="str">
        <f>"007 "</f>
        <v xml:space="preserve">007 </v>
      </c>
      <c r="F76" t="s">
        <v>169</v>
      </c>
      <c r="G76" s="1">
        <v>10200</v>
      </c>
      <c r="H76" t="s">
        <v>33</v>
      </c>
      <c r="I76" t="s">
        <v>34</v>
      </c>
      <c r="J76" s="1">
        <v>8144.52</v>
      </c>
    </row>
    <row r="77" spans="1:10" x14ac:dyDescent="0.25">
      <c r="A77" t="str">
        <f t="shared" si="5"/>
        <v>07/20/20</v>
      </c>
      <c r="B77" t="s">
        <v>170</v>
      </c>
      <c r="C77" t="str">
        <f t="shared" si="6"/>
        <v>21223</v>
      </c>
      <c r="D77" t="str">
        <f>"0270 "</f>
        <v xml:space="preserve">0270 </v>
      </c>
      <c r="E77" t="str">
        <f>"060 "</f>
        <v xml:space="preserve">060 </v>
      </c>
      <c r="F77" t="s">
        <v>171</v>
      </c>
      <c r="G77" s="1">
        <v>29000</v>
      </c>
      <c r="H77" t="s">
        <v>33</v>
      </c>
      <c r="I77" t="s">
        <v>34</v>
      </c>
      <c r="J77" s="1">
        <v>1859.65</v>
      </c>
    </row>
    <row r="78" spans="1:10" x14ac:dyDescent="0.25">
      <c r="A78" t="str">
        <f t="shared" si="5"/>
        <v>07/20/20</v>
      </c>
      <c r="B78" t="s">
        <v>172</v>
      </c>
      <c r="C78" t="str">
        <f t="shared" si="6"/>
        <v>21223</v>
      </c>
      <c r="D78" t="str">
        <f>"0271 "</f>
        <v xml:space="preserve">0271 </v>
      </c>
      <c r="E78" t="str">
        <f>"078 "</f>
        <v xml:space="preserve">078 </v>
      </c>
      <c r="F78" t="s">
        <v>173</v>
      </c>
      <c r="G78" s="1">
        <v>15000</v>
      </c>
      <c r="H78" t="s">
        <v>33</v>
      </c>
      <c r="I78" t="s">
        <v>15</v>
      </c>
      <c r="J78" s="1">
        <v>22144.77</v>
      </c>
    </row>
    <row r="79" spans="1:10" x14ac:dyDescent="0.25">
      <c r="A79" t="str">
        <f t="shared" si="5"/>
        <v>07/20/20</v>
      </c>
      <c r="B79" t="s">
        <v>174</v>
      </c>
      <c r="C79" t="str">
        <f t="shared" si="6"/>
        <v>21223</v>
      </c>
      <c r="D79" t="str">
        <f>"0270 "</f>
        <v xml:space="preserve">0270 </v>
      </c>
      <c r="E79" t="str">
        <f>"032 "</f>
        <v xml:space="preserve">032 </v>
      </c>
      <c r="F79" t="s">
        <v>175</v>
      </c>
      <c r="G79" s="1">
        <v>29000</v>
      </c>
      <c r="H79" t="s">
        <v>33</v>
      </c>
      <c r="I79" t="s">
        <v>15</v>
      </c>
      <c r="J79" s="1">
        <v>58651.51</v>
      </c>
    </row>
    <row r="80" spans="1:10" x14ac:dyDescent="0.25">
      <c r="A80" t="str">
        <f t="shared" si="5"/>
        <v>07/20/20</v>
      </c>
      <c r="B80" t="s">
        <v>176</v>
      </c>
      <c r="C80" t="str">
        <f t="shared" si="6"/>
        <v>21223</v>
      </c>
      <c r="D80" t="str">
        <f>"0270 "</f>
        <v xml:space="preserve">0270 </v>
      </c>
      <c r="E80" t="str">
        <f>"023 "</f>
        <v xml:space="preserve">023 </v>
      </c>
      <c r="F80" t="s">
        <v>177</v>
      </c>
      <c r="G80" s="1">
        <v>29000</v>
      </c>
      <c r="H80" t="s">
        <v>33</v>
      </c>
      <c r="I80" t="s">
        <v>34</v>
      </c>
      <c r="J80" s="1">
        <v>17332.68</v>
      </c>
    </row>
    <row r="81" spans="1:10" x14ac:dyDescent="0.25">
      <c r="A81" t="str">
        <f t="shared" si="5"/>
        <v>07/20/20</v>
      </c>
      <c r="B81" t="s">
        <v>178</v>
      </c>
      <c r="C81" t="str">
        <f t="shared" si="6"/>
        <v>21223</v>
      </c>
      <c r="D81" t="str">
        <f>"0270 "</f>
        <v xml:space="preserve">0270 </v>
      </c>
      <c r="E81" t="str">
        <f>"015 "</f>
        <v xml:space="preserve">015 </v>
      </c>
      <c r="F81" t="s">
        <v>179</v>
      </c>
      <c r="G81" s="1">
        <v>15100</v>
      </c>
      <c r="H81" t="s">
        <v>33</v>
      </c>
      <c r="I81" t="s">
        <v>15</v>
      </c>
      <c r="J81" s="1">
        <v>15698.98</v>
      </c>
    </row>
    <row r="82" spans="1:10" x14ac:dyDescent="0.25">
      <c r="A82" t="str">
        <f t="shared" si="5"/>
        <v>07/20/20</v>
      </c>
      <c r="B82" t="s">
        <v>180</v>
      </c>
      <c r="C82" t="str">
        <f>"21216"</f>
        <v>21216</v>
      </c>
      <c r="D82" t="str">
        <f>"2320A"</f>
        <v>2320A</v>
      </c>
      <c r="E82" t="str">
        <f>"048 "</f>
        <v xml:space="preserve">048 </v>
      </c>
      <c r="F82" t="s">
        <v>181</v>
      </c>
      <c r="G82" s="1">
        <v>11000</v>
      </c>
      <c r="H82" t="s">
        <v>14</v>
      </c>
      <c r="I82" t="s">
        <v>34</v>
      </c>
      <c r="J82" s="1">
        <v>7419.18</v>
      </c>
    </row>
    <row r="83" spans="1:10" x14ac:dyDescent="0.25">
      <c r="A83" t="str">
        <f t="shared" si="5"/>
        <v>07/20/20</v>
      </c>
      <c r="B83" t="s">
        <v>182</v>
      </c>
      <c r="C83" t="str">
        <f>"21223"</f>
        <v>21223</v>
      </c>
      <c r="D83" t="str">
        <f>"2153 "</f>
        <v xml:space="preserve">2153 </v>
      </c>
      <c r="E83" t="str">
        <f>"100 "</f>
        <v xml:space="preserve">100 </v>
      </c>
      <c r="F83" t="s">
        <v>183</v>
      </c>
      <c r="G83" s="1">
        <v>17000</v>
      </c>
      <c r="H83" t="s">
        <v>33</v>
      </c>
      <c r="I83" t="s">
        <v>34</v>
      </c>
      <c r="J83" s="1">
        <v>8446.0300000000007</v>
      </c>
    </row>
    <row r="84" spans="1:10" x14ac:dyDescent="0.25">
      <c r="A84" t="str">
        <f t="shared" si="5"/>
        <v>07/20/20</v>
      </c>
      <c r="B84" t="s">
        <v>184</v>
      </c>
      <c r="C84" t="str">
        <f>"21229"</f>
        <v>21229</v>
      </c>
      <c r="D84" t="str">
        <f>"2230E"</f>
        <v>2230E</v>
      </c>
      <c r="E84" t="str">
        <f>"034 "</f>
        <v xml:space="preserve">034 </v>
      </c>
      <c r="F84" t="s">
        <v>185</v>
      </c>
      <c r="G84" s="1">
        <v>73700</v>
      </c>
      <c r="H84" t="s">
        <v>30</v>
      </c>
      <c r="I84" t="s">
        <v>15</v>
      </c>
      <c r="J84" s="1">
        <v>28040.94</v>
      </c>
    </row>
    <row r="85" spans="1:10" x14ac:dyDescent="0.25">
      <c r="A85" t="str">
        <f t="shared" si="5"/>
        <v>07/20/20</v>
      </c>
      <c r="B85" t="s">
        <v>186</v>
      </c>
      <c r="C85" t="str">
        <f>"21213"</f>
        <v>21213</v>
      </c>
      <c r="D85" t="str">
        <f>"1109 "</f>
        <v xml:space="preserve">1109 </v>
      </c>
      <c r="E85" t="str">
        <f>"082 "</f>
        <v xml:space="preserve">082 </v>
      </c>
      <c r="F85" t="s">
        <v>187</v>
      </c>
      <c r="G85" s="1">
        <v>19000</v>
      </c>
      <c r="H85" t="s">
        <v>33</v>
      </c>
      <c r="I85" t="s">
        <v>15</v>
      </c>
      <c r="J85" s="1">
        <v>71684.12</v>
      </c>
    </row>
    <row r="86" spans="1:10" x14ac:dyDescent="0.25">
      <c r="A86" t="str">
        <f t="shared" si="5"/>
        <v>07/20/20</v>
      </c>
      <c r="B86" t="s">
        <v>188</v>
      </c>
      <c r="C86" t="str">
        <f>"21213"</f>
        <v>21213</v>
      </c>
      <c r="D86" t="str">
        <f>"1109 "</f>
        <v xml:space="preserve">1109 </v>
      </c>
      <c r="E86" t="str">
        <f>"081 "</f>
        <v xml:space="preserve">081 </v>
      </c>
      <c r="F86" t="s">
        <v>189</v>
      </c>
      <c r="G86" s="1">
        <v>19000</v>
      </c>
      <c r="H86" t="s">
        <v>33</v>
      </c>
      <c r="I86" t="s">
        <v>15</v>
      </c>
      <c r="J86" s="1">
        <v>126156.58</v>
      </c>
    </row>
    <row r="87" spans="1:10" x14ac:dyDescent="0.25">
      <c r="A87" t="str">
        <f t="shared" si="5"/>
        <v>07/20/20</v>
      </c>
      <c r="B87" t="s">
        <v>190</v>
      </c>
      <c r="C87" t="str">
        <f>"21213"</f>
        <v>21213</v>
      </c>
      <c r="D87" t="str">
        <f>"1109 "</f>
        <v xml:space="preserve">1109 </v>
      </c>
      <c r="E87" t="str">
        <f>"083 "</f>
        <v xml:space="preserve">083 </v>
      </c>
      <c r="F87" t="s">
        <v>191</v>
      </c>
      <c r="G87" s="1">
        <v>19000</v>
      </c>
      <c r="H87" t="s">
        <v>33</v>
      </c>
      <c r="I87" t="s">
        <v>15</v>
      </c>
      <c r="J87" s="1">
        <v>25789.95</v>
      </c>
    </row>
    <row r="88" spans="1:10" x14ac:dyDescent="0.25">
      <c r="A88" t="str">
        <f t="shared" si="5"/>
        <v>07/20/20</v>
      </c>
      <c r="B88" t="s">
        <v>192</v>
      </c>
      <c r="C88" t="str">
        <f>"21213"</f>
        <v>21213</v>
      </c>
      <c r="D88" t="str">
        <f>"1556 "</f>
        <v xml:space="preserve">1556 </v>
      </c>
      <c r="E88" t="str">
        <f>"027 "</f>
        <v xml:space="preserve">027 </v>
      </c>
      <c r="F88" t="s">
        <v>193</v>
      </c>
      <c r="G88" s="1">
        <v>1000</v>
      </c>
      <c r="H88" t="s">
        <v>33</v>
      </c>
      <c r="I88" t="s">
        <v>15</v>
      </c>
      <c r="J88" s="1">
        <v>26725.75</v>
      </c>
    </row>
    <row r="89" spans="1:10" x14ac:dyDescent="0.25">
      <c r="A89" t="str">
        <f t="shared" si="5"/>
        <v>07/20/20</v>
      </c>
      <c r="B89" t="s">
        <v>194</v>
      </c>
      <c r="C89" t="str">
        <f>"21213"</f>
        <v>21213</v>
      </c>
      <c r="D89" t="str">
        <f>"1556 "</f>
        <v xml:space="preserve">1556 </v>
      </c>
      <c r="E89" t="str">
        <f>"032 "</f>
        <v xml:space="preserve">032 </v>
      </c>
      <c r="F89" t="s">
        <v>195</v>
      </c>
      <c r="G89" s="1">
        <v>19000</v>
      </c>
      <c r="H89" t="s">
        <v>33</v>
      </c>
      <c r="I89" t="s">
        <v>34</v>
      </c>
      <c r="J89" s="1">
        <v>20796.169999999998</v>
      </c>
    </row>
    <row r="90" spans="1:10" x14ac:dyDescent="0.25">
      <c r="A90" t="str">
        <f t="shared" si="5"/>
        <v>07/20/20</v>
      </c>
      <c r="B90" t="s">
        <v>196</v>
      </c>
      <c r="C90" t="str">
        <f>"21215"</f>
        <v>21215</v>
      </c>
      <c r="D90" t="str">
        <f>"2718 "</f>
        <v xml:space="preserve">2718 </v>
      </c>
      <c r="E90" t="str">
        <f>"009 "</f>
        <v xml:space="preserve">009 </v>
      </c>
      <c r="F90" t="s">
        <v>197</v>
      </c>
      <c r="G90" s="1">
        <v>148500</v>
      </c>
      <c r="H90" t="s">
        <v>91</v>
      </c>
      <c r="I90" t="s">
        <v>15</v>
      </c>
      <c r="J90" s="1">
        <v>91900.36</v>
      </c>
    </row>
    <row r="91" spans="1:10" x14ac:dyDescent="0.25">
      <c r="A91" t="str">
        <f t="shared" si="5"/>
        <v>07/20/20</v>
      </c>
      <c r="B91" t="s">
        <v>198</v>
      </c>
      <c r="C91" t="str">
        <f>"21215"</f>
        <v>21215</v>
      </c>
      <c r="D91" t="str">
        <f>"2948 "</f>
        <v xml:space="preserve">2948 </v>
      </c>
      <c r="E91" t="str">
        <f>"063 "</f>
        <v xml:space="preserve">063 </v>
      </c>
      <c r="F91" t="s">
        <v>199</v>
      </c>
      <c r="G91" s="1">
        <v>113100</v>
      </c>
      <c r="H91" t="s">
        <v>91</v>
      </c>
      <c r="I91" t="s">
        <v>15</v>
      </c>
      <c r="J91" s="1">
        <v>29950.400000000001</v>
      </c>
    </row>
    <row r="92" spans="1:10" x14ac:dyDescent="0.25">
      <c r="A92" t="str">
        <f t="shared" si="5"/>
        <v>07/20/20</v>
      </c>
      <c r="B92" t="s">
        <v>200</v>
      </c>
      <c r="C92" t="str">
        <f>"21225"</f>
        <v>21225</v>
      </c>
      <c r="D92" t="str">
        <f>"7644 "</f>
        <v xml:space="preserve">7644 </v>
      </c>
      <c r="E92" t="str">
        <f>"011 "</f>
        <v xml:space="preserve">011 </v>
      </c>
      <c r="F92" t="s">
        <v>201</v>
      </c>
      <c r="G92" s="1">
        <v>24000</v>
      </c>
      <c r="H92" t="s">
        <v>14</v>
      </c>
      <c r="I92" t="s">
        <v>34</v>
      </c>
      <c r="J92" s="1">
        <v>8549.24</v>
      </c>
    </row>
    <row r="93" spans="1:10" x14ac:dyDescent="0.25">
      <c r="A93" t="str">
        <f t="shared" si="5"/>
        <v>07/20/20</v>
      </c>
      <c r="B93" t="s">
        <v>202</v>
      </c>
      <c r="C93" t="str">
        <f>"21218"</f>
        <v>21218</v>
      </c>
      <c r="D93" t="str">
        <f>"4001 "</f>
        <v xml:space="preserve">4001 </v>
      </c>
      <c r="E93" t="str">
        <f>"049 "</f>
        <v xml:space="preserve">049 </v>
      </c>
      <c r="F93" t="s">
        <v>203</v>
      </c>
      <c r="G93" s="1">
        <v>1000</v>
      </c>
      <c r="H93" t="s">
        <v>33</v>
      </c>
      <c r="I93" t="s">
        <v>15</v>
      </c>
      <c r="J93" s="1">
        <v>9194.52</v>
      </c>
    </row>
    <row r="94" spans="1:10" x14ac:dyDescent="0.25">
      <c r="A94" t="str">
        <f t="shared" si="5"/>
        <v>07/20/20</v>
      </c>
      <c r="B94" t="s">
        <v>204</v>
      </c>
      <c r="C94" t="str">
        <f>"21223"</f>
        <v>21223</v>
      </c>
      <c r="D94" t="str">
        <f>"0204 "</f>
        <v xml:space="preserve">0204 </v>
      </c>
      <c r="E94" t="str">
        <f>"100 "</f>
        <v xml:space="preserve">100 </v>
      </c>
      <c r="F94" t="s">
        <v>205</v>
      </c>
      <c r="G94" s="1">
        <v>10200</v>
      </c>
      <c r="H94" t="s">
        <v>33</v>
      </c>
      <c r="I94" t="s">
        <v>15</v>
      </c>
      <c r="J94" s="1">
        <v>14498.98</v>
      </c>
    </row>
    <row r="95" spans="1:10" x14ac:dyDescent="0.25">
      <c r="A95" t="str">
        <f t="shared" si="5"/>
        <v>07/20/20</v>
      </c>
      <c r="B95" t="s">
        <v>206</v>
      </c>
      <c r="C95" t="str">
        <f>"21223"</f>
        <v>21223</v>
      </c>
      <c r="D95" t="str">
        <f>"0205 "</f>
        <v xml:space="preserve">0205 </v>
      </c>
      <c r="E95" t="str">
        <f>"071 "</f>
        <v xml:space="preserve">071 </v>
      </c>
      <c r="F95" t="s">
        <v>207</v>
      </c>
      <c r="G95" s="1">
        <v>3000</v>
      </c>
      <c r="H95" t="s">
        <v>33</v>
      </c>
      <c r="I95" t="s">
        <v>34</v>
      </c>
      <c r="J95" s="1">
        <v>118449.64</v>
      </c>
    </row>
    <row r="96" spans="1:10" x14ac:dyDescent="0.25">
      <c r="A96" t="str">
        <f t="shared" si="5"/>
        <v>07/20/20</v>
      </c>
      <c r="B96" t="s">
        <v>208</v>
      </c>
      <c r="C96" t="str">
        <f>"21223"</f>
        <v>21223</v>
      </c>
      <c r="D96" t="str">
        <f>"0222 "</f>
        <v xml:space="preserve">0222 </v>
      </c>
      <c r="E96" t="str">
        <f>"049 "</f>
        <v xml:space="preserve">049 </v>
      </c>
      <c r="F96" t="s">
        <v>209</v>
      </c>
      <c r="G96" s="1">
        <v>3000</v>
      </c>
      <c r="H96" t="s">
        <v>33</v>
      </c>
      <c r="I96" t="s">
        <v>34</v>
      </c>
      <c r="J96" s="1">
        <v>4151.6499999999996</v>
      </c>
    </row>
    <row r="97" spans="1:10" x14ac:dyDescent="0.25">
      <c r="A97" t="str">
        <f t="shared" si="5"/>
        <v>07/20/20</v>
      </c>
      <c r="B97" t="s">
        <v>210</v>
      </c>
      <c r="C97" t="str">
        <f>"21223"</f>
        <v>21223</v>
      </c>
      <c r="D97" t="str">
        <f>"2175 "</f>
        <v xml:space="preserve">2175 </v>
      </c>
      <c r="E97" t="str">
        <f>"076 "</f>
        <v xml:space="preserve">076 </v>
      </c>
      <c r="F97" t="s">
        <v>211</v>
      </c>
      <c r="G97" s="1">
        <v>6000</v>
      </c>
      <c r="H97" t="s">
        <v>33</v>
      </c>
      <c r="I97" t="s">
        <v>34</v>
      </c>
      <c r="J97" s="1">
        <v>9920.98</v>
      </c>
    </row>
    <row r="98" spans="1:10" x14ac:dyDescent="0.25">
      <c r="A98" t="str">
        <f t="shared" si="5"/>
        <v>07/20/20</v>
      </c>
      <c r="B98" t="s">
        <v>212</v>
      </c>
      <c r="C98" t="str">
        <f>"21216"</f>
        <v>21216</v>
      </c>
      <c r="D98" t="str">
        <f>"2401A"</f>
        <v>2401A</v>
      </c>
      <c r="E98" t="str">
        <f>"033 "</f>
        <v xml:space="preserve">033 </v>
      </c>
      <c r="F98" t="s">
        <v>213</v>
      </c>
      <c r="G98" s="1">
        <v>19000</v>
      </c>
      <c r="H98" t="s">
        <v>14</v>
      </c>
      <c r="I98" t="s">
        <v>15</v>
      </c>
      <c r="J98" s="1">
        <v>10174.790000000001</v>
      </c>
    </row>
    <row r="99" spans="1:10" x14ac:dyDescent="0.25">
      <c r="A99" t="str">
        <f t="shared" si="5"/>
        <v>07/20/20</v>
      </c>
      <c r="B99" t="s">
        <v>214</v>
      </c>
      <c r="C99" t="str">
        <f>"21224"</f>
        <v>21224</v>
      </c>
      <c r="D99" t="str">
        <f>"1671 "</f>
        <v xml:space="preserve">1671 </v>
      </c>
      <c r="E99" t="str">
        <f>"080 "</f>
        <v xml:space="preserve">080 </v>
      </c>
      <c r="F99" t="s">
        <v>215</v>
      </c>
      <c r="G99" s="1">
        <v>1600</v>
      </c>
      <c r="H99" t="s">
        <v>33</v>
      </c>
      <c r="I99" t="s">
        <v>15</v>
      </c>
      <c r="J99" s="1">
        <v>258860.87</v>
      </c>
    </row>
    <row r="100" spans="1:10" x14ac:dyDescent="0.25">
      <c r="A100" t="str">
        <f t="shared" si="5"/>
        <v>07/20/20</v>
      </c>
      <c r="B100" t="s">
        <v>216</v>
      </c>
      <c r="C100" t="str">
        <f t="shared" ref="C100:C111" si="7">"21205"</f>
        <v>21205</v>
      </c>
      <c r="D100" t="str">
        <f>"1639 "</f>
        <v xml:space="preserve">1639 </v>
      </c>
      <c r="E100" t="str">
        <f>"056 "</f>
        <v xml:space="preserve">056 </v>
      </c>
      <c r="F100" t="s">
        <v>217</v>
      </c>
      <c r="G100" s="1">
        <v>7000</v>
      </c>
      <c r="H100" t="s">
        <v>33</v>
      </c>
      <c r="I100" t="s">
        <v>15</v>
      </c>
      <c r="J100" s="1">
        <v>66185.759999999995</v>
      </c>
    </row>
    <row r="101" spans="1:10" x14ac:dyDescent="0.25">
      <c r="A101" t="str">
        <f t="shared" si="5"/>
        <v>07/20/20</v>
      </c>
      <c r="B101" t="s">
        <v>218</v>
      </c>
      <c r="C101" t="str">
        <f t="shared" si="7"/>
        <v>21205</v>
      </c>
      <c r="D101" t="str">
        <f>"1639 "</f>
        <v xml:space="preserve">1639 </v>
      </c>
      <c r="E101" t="str">
        <f>"057 "</f>
        <v xml:space="preserve">057 </v>
      </c>
      <c r="F101" t="s">
        <v>217</v>
      </c>
      <c r="G101" s="1">
        <v>7000</v>
      </c>
      <c r="H101" t="s">
        <v>33</v>
      </c>
      <c r="I101" t="s">
        <v>15</v>
      </c>
      <c r="J101" s="1">
        <v>72034.95</v>
      </c>
    </row>
    <row r="102" spans="1:10" x14ac:dyDescent="0.25">
      <c r="A102" t="str">
        <f t="shared" si="5"/>
        <v>07/20/20</v>
      </c>
      <c r="B102" t="s">
        <v>219</v>
      </c>
      <c r="C102" t="str">
        <f t="shared" si="7"/>
        <v>21205</v>
      </c>
      <c r="D102" t="str">
        <f>"1639 "</f>
        <v xml:space="preserve">1639 </v>
      </c>
      <c r="E102" t="str">
        <f>"058 "</f>
        <v xml:space="preserve">058 </v>
      </c>
      <c r="F102" t="s">
        <v>217</v>
      </c>
      <c r="G102" s="1">
        <v>7000</v>
      </c>
      <c r="H102" t="s">
        <v>33</v>
      </c>
      <c r="I102" t="s">
        <v>15</v>
      </c>
      <c r="J102" s="1">
        <v>66958.97</v>
      </c>
    </row>
    <row r="103" spans="1:10" x14ac:dyDescent="0.25">
      <c r="A103" t="str">
        <f t="shared" si="5"/>
        <v>07/20/20</v>
      </c>
      <c r="B103" t="s">
        <v>220</v>
      </c>
      <c r="C103" t="str">
        <f t="shared" si="7"/>
        <v>21205</v>
      </c>
      <c r="D103" t="str">
        <f>"1590 "</f>
        <v xml:space="preserve">1590 </v>
      </c>
      <c r="E103" t="str">
        <f>"087 "</f>
        <v xml:space="preserve">087 </v>
      </c>
      <c r="F103" t="s">
        <v>221</v>
      </c>
      <c r="G103" s="1">
        <v>3000</v>
      </c>
      <c r="H103" t="s">
        <v>33</v>
      </c>
      <c r="I103" t="s">
        <v>15</v>
      </c>
      <c r="J103" s="1">
        <v>263206.15999999997</v>
      </c>
    </row>
    <row r="104" spans="1:10" x14ac:dyDescent="0.25">
      <c r="A104" t="str">
        <f t="shared" si="5"/>
        <v>07/20/20</v>
      </c>
      <c r="B104" t="s">
        <v>222</v>
      </c>
      <c r="C104" t="str">
        <f t="shared" si="7"/>
        <v>21205</v>
      </c>
      <c r="D104" t="str">
        <f>"1590 "</f>
        <v xml:space="preserve">1590 </v>
      </c>
      <c r="E104" t="str">
        <f>"081 "</f>
        <v xml:space="preserve">081 </v>
      </c>
      <c r="F104" t="s">
        <v>223</v>
      </c>
      <c r="G104" s="1">
        <v>3000</v>
      </c>
      <c r="H104" t="s">
        <v>33</v>
      </c>
      <c r="I104" t="s">
        <v>15</v>
      </c>
      <c r="J104" s="1">
        <v>55630.32</v>
      </c>
    </row>
    <row r="105" spans="1:10" x14ac:dyDescent="0.25">
      <c r="A105" t="str">
        <f t="shared" si="5"/>
        <v>07/20/20</v>
      </c>
      <c r="B105" t="s">
        <v>224</v>
      </c>
      <c r="C105" t="str">
        <f t="shared" si="7"/>
        <v>21205</v>
      </c>
      <c r="D105" t="str">
        <f>"1590 "</f>
        <v xml:space="preserve">1590 </v>
      </c>
      <c r="E105" t="str">
        <f>"071 "</f>
        <v xml:space="preserve">071 </v>
      </c>
      <c r="F105" t="s">
        <v>225</v>
      </c>
      <c r="G105" s="1">
        <v>3000</v>
      </c>
      <c r="H105" t="s">
        <v>33</v>
      </c>
      <c r="I105" t="s">
        <v>15</v>
      </c>
      <c r="J105" s="1">
        <v>59156.97</v>
      </c>
    </row>
    <row r="106" spans="1:10" x14ac:dyDescent="0.25">
      <c r="A106" t="str">
        <f t="shared" si="5"/>
        <v>07/20/20</v>
      </c>
      <c r="B106" t="s">
        <v>226</v>
      </c>
      <c r="C106" t="str">
        <f t="shared" si="7"/>
        <v>21205</v>
      </c>
      <c r="D106" t="str">
        <f>"1623 "</f>
        <v xml:space="preserve">1623 </v>
      </c>
      <c r="E106" t="str">
        <f>"080 "</f>
        <v xml:space="preserve">080 </v>
      </c>
      <c r="F106" t="s">
        <v>227</v>
      </c>
      <c r="G106" s="1">
        <v>2000</v>
      </c>
      <c r="H106" t="s">
        <v>33</v>
      </c>
      <c r="I106" t="s">
        <v>15</v>
      </c>
      <c r="J106" s="1">
        <v>99374.93</v>
      </c>
    </row>
    <row r="107" spans="1:10" x14ac:dyDescent="0.25">
      <c r="A107" t="str">
        <f t="shared" si="5"/>
        <v>07/20/20</v>
      </c>
      <c r="B107" t="s">
        <v>228</v>
      </c>
      <c r="C107" t="str">
        <f t="shared" si="7"/>
        <v>21205</v>
      </c>
      <c r="D107" t="str">
        <f>"1623 "</f>
        <v xml:space="preserve">1623 </v>
      </c>
      <c r="E107" t="str">
        <f>"081 "</f>
        <v xml:space="preserve">081 </v>
      </c>
      <c r="F107" t="s">
        <v>229</v>
      </c>
      <c r="G107" s="1">
        <v>2000</v>
      </c>
      <c r="H107" t="s">
        <v>33</v>
      </c>
      <c r="I107" t="s">
        <v>15</v>
      </c>
      <c r="J107" s="1">
        <v>109300.6</v>
      </c>
    </row>
    <row r="108" spans="1:10" x14ac:dyDescent="0.25">
      <c r="A108" t="str">
        <f t="shared" si="5"/>
        <v>07/20/20</v>
      </c>
      <c r="B108" t="s">
        <v>230</v>
      </c>
      <c r="C108" t="str">
        <f t="shared" si="7"/>
        <v>21205</v>
      </c>
      <c r="D108" t="str">
        <f>"1623 "</f>
        <v xml:space="preserve">1623 </v>
      </c>
      <c r="E108" t="str">
        <f>"082 "</f>
        <v xml:space="preserve">082 </v>
      </c>
      <c r="F108" t="s">
        <v>231</v>
      </c>
      <c r="G108" s="1">
        <v>2000</v>
      </c>
      <c r="H108" t="s">
        <v>33</v>
      </c>
      <c r="I108" t="s">
        <v>15</v>
      </c>
      <c r="J108" s="1">
        <v>57566.16</v>
      </c>
    </row>
    <row r="109" spans="1:10" x14ac:dyDescent="0.25">
      <c r="A109" t="str">
        <f t="shared" si="5"/>
        <v>07/20/20</v>
      </c>
      <c r="B109" t="s">
        <v>232</v>
      </c>
      <c r="C109" t="str">
        <f t="shared" si="7"/>
        <v>21205</v>
      </c>
      <c r="D109" t="str">
        <f>"1623 "</f>
        <v xml:space="preserve">1623 </v>
      </c>
      <c r="E109" t="str">
        <f>"085 "</f>
        <v xml:space="preserve">085 </v>
      </c>
      <c r="F109" t="s">
        <v>233</v>
      </c>
      <c r="G109" s="1">
        <v>3000</v>
      </c>
      <c r="H109" t="s">
        <v>33</v>
      </c>
      <c r="I109" t="s">
        <v>15</v>
      </c>
      <c r="J109" s="1">
        <v>16506.13</v>
      </c>
    </row>
    <row r="110" spans="1:10" x14ac:dyDescent="0.25">
      <c r="A110" t="str">
        <f t="shared" si="5"/>
        <v>07/20/20</v>
      </c>
      <c r="B110" t="s">
        <v>234</v>
      </c>
      <c r="C110" t="str">
        <f t="shared" si="7"/>
        <v>21205</v>
      </c>
      <c r="D110" t="str">
        <f>"1623 "</f>
        <v xml:space="preserve">1623 </v>
      </c>
      <c r="E110" t="str">
        <f>"086 "</f>
        <v xml:space="preserve">086 </v>
      </c>
      <c r="F110" t="s">
        <v>235</v>
      </c>
      <c r="G110" s="1">
        <v>3000</v>
      </c>
      <c r="H110" t="s">
        <v>33</v>
      </c>
      <c r="I110" t="s">
        <v>15</v>
      </c>
      <c r="J110" s="1">
        <v>46324.92</v>
      </c>
    </row>
    <row r="111" spans="1:10" x14ac:dyDescent="0.25">
      <c r="A111" t="str">
        <f t="shared" si="5"/>
        <v>07/20/20</v>
      </c>
      <c r="B111" t="s">
        <v>236</v>
      </c>
      <c r="C111" t="str">
        <f t="shared" si="7"/>
        <v>21205</v>
      </c>
      <c r="D111" t="str">
        <f>"1607 "</f>
        <v xml:space="preserve">1607 </v>
      </c>
      <c r="E111" t="str">
        <f>"077 "</f>
        <v xml:space="preserve">077 </v>
      </c>
      <c r="F111" t="s">
        <v>237</v>
      </c>
      <c r="G111" s="1">
        <v>3000</v>
      </c>
      <c r="H111" t="s">
        <v>33</v>
      </c>
      <c r="I111" t="s">
        <v>15</v>
      </c>
      <c r="J111" s="1">
        <v>276631.56</v>
      </c>
    </row>
    <row r="112" spans="1:10" x14ac:dyDescent="0.25">
      <c r="A112" t="str">
        <f t="shared" si="5"/>
        <v>07/20/20</v>
      </c>
      <c r="B112" t="s">
        <v>238</v>
      </c>
      <c r="C112" t="str">
        <f>"21213"</f>
        <v>21213</v>
      </c>
      <c r="D112" t="str">
        <f>"1484 "</f>
        <v xml:space="preserve">1484 </v>
      </c>
      <c r="E112" t="str">
        <f>"076 "</f>
        <v xml:space="preserve">076 </v>
      </c>
      <c r="F112" t="s">
        <v>239</v>
      </c>
      <c r="G112" s="1">
        <v>6000</v>
      </c>
      <c r="H112" t="s">
        <v>33</v>
      </c>
      <c r="I112" t="s">
        <v>15</v>
      </c>
      <c r="J112" s="1">
        <v>36265.879999999997</v>
      </c>
    </row>
    <row r="113" spans="1:10" x14ac:dyDescent="0.25">
      <c r="A113" t="str">
        <f t="shared" si="5"/>
        <v>07/20/20</v>
      </c>
      <c r="B113" t="s">
        <v>240</v>
      </c>
      <c r="C113" t="str">
        <f>"21217"</f>
        <v>21217</v>
      </c>
      <c r="D113" t="str">
        <f>"0115 "</f>
        <v xml:space="preserve">0115 </v>
      </c>
      <c r="E113" t="str">
        <f>"089 "</f>
        <v xml:space="preserve">089 </v>
      </c>
      <c r="F113" t="s">
        <v>241</v>
      </c>
      <c r="G113" s="1">
        <v>6000</v>
      </c>
      <c r="H113" t="s">
        <v>33</v>
      </c>
      <c r="I113" t="s">
        <v>34</v>
      </c>
      <c r="J113" s="1">
        <v>50985.29</v>
      </c>
    </row>
    <row r="114" spans="1:10" x14ac:dyDescent="0.25">
      <c r="A114" t="str">
        <f t="shared" si="5"/>
        <v>07/20/20</v>
      </c>
      <c r="B114" t="s">
        <v>242</v>
      </c>
      <c r="C114" t="str">
        <f>"21217"</f>
        <v>21217</v>
      </c>
      <c r="D114" t="str">
        <f>"0115 "</f>
        <v xml:space="preserve">0115 </v>
      </c>
      <c r="E114" t="str">
        <f>"078 "</f>
        <v xml:space="preserve">078 </v>
      </c>
      <c r="F114" t="s">
        <v>243</v>
      </c>
      <c r="G114" s="1">
        <v>17000</v>
      </c>
      <c r="H114" t="s">
        <v>33</v>
      </c>
      <c r="I114" t="s">
        <v>15</v>
      </c>
      <c r="J114" s="1">
        <v>36237.129999999997</v>
      </c>
    </row>
    <row r="115" spans="1:10" x14ac:dyDescent="0.25">
      <c r="A115" t="str">
        <f t="shared" si="5"/>
        <v>07/20/20</v>
      </c>
      <c r="B115" t="s">
        <v>244</v>
      </c>
      <c r="C115" t="str">
        <f>"21217"</f>
        <v>21217</v>
      </c>
      <c r="D115" t="str">
        <f>"0115 "</f>
        <v xml:space="preserve">0115 </v>
      </c>
      <c r="E115" t="str">
        <f>"045 "</f>
        <v xml:space="preserve">045 </v>
      </c>
      <c r="F115" t="s">
        <v>245</v>
      </c>
      <c r="G115" s="1">
        <v>2000</v>
      </c>
      <c r="H115" t="s">
        <v>33</v>
      </c>
      <c r="I115" t="s">
        <v>15</v>
      </c>
      <c r="J115" s="1">
        <v>16074.33</v>
      </c>
    </row>
    <row r="116" spans="1:10" x14ac:dyDescent="0.25">
      <c r="A116" t="str">
        <f t="shared" si="5"/>
        <v>07/20/20</v>
      </c>
      <c r="B116" t="s">
        <v>246</v>
      </c>
      <c r="C116" t="str">
        <f>"21218"</f>
        <v>21218</v>
      </c>
      <c r="D116" t="str">
        <f>"3884 "</f>
        <v xml:space="preserve">3884 </v>
      </c>
      <c r="E116" t="str">
        <f>"037 "</f>
        <v xml:space="preserve">037 </v>
      </c>
      <c r="F116" t="s">
        <v>247</v>
      </c>
      <c r="G116" s="1">
        <v>5000</v>
      </c>
      <c r="H116" t="s">
        <v>248</v>
      </c>
      <c r="I116" t="s">
        <v>15</v>
      </c>
      <c r="J116" s="1">
        <v>9003.24</v>
      </c>
    </row>
    <row r="117" spans="1:10" x14ac:dyDescent="0.25">
      <c r="A117" t="str">
        <f t="shared" si="5"/>
        <v>07/20/20</v>
      </c>
      <c r="B117" t="s">
        <v>249</v>
      </c>
      <c r="C117" t="str">
        <f>"21225"</f>
        <v>21225</v>
      </c>
      <c r="D117" t="str">
        <f>"7614 "</f>
        <v xml:space="preserve">7614 </v>
      </c>
      <c r="E117" t="str">
        <f>"029 "</f>
        <v xml:space="preserve">029 </v>
      </c>
      <c r="F117" t="s">
        <v>250</v>
      </c>
      <c r="G117" s="1">
        <v>24000</v>
      </c>
      <c r="H117" t="s">
        <v>14</v>
      </c>
      <c r="I117" t="s">
        <v>15</v>
      </c>
      <c r="J117" s="1">
        <v>23542.19</v>
      </c>
    </row>
    <row r="118" spans="1:10" x14ac:dyDescent="0.25">
      <c r="A118" t="str">
        <f t="shared" si="5"/>
        <v>07/20/20</v>
      </c>
      <c r="B118" t="s">
        <v>251</v>
      </c>
      <c r="C118" t="str">
        <f t="shared" ref="C118:C124" si="8">"21216"</f>
        <v>21216</v>
      </c>
      <c r="D118" t="str">
        <f>"2451 "</f>
        <v xml:space="preserve">2451 </v>
      </c>
      <c r="E118" t="str">
        <f>"060 "</f>
        <v xml:space="preserve">060 </v>
      </c>
      <c r="F118" t="s">
        <v>252</v>
      </c>
      <c r="G118" s="1">
        <v>25000</v>
      </c>
      <c r="H118" t="s">
        <v>14</v>
      </c>
      <c r="I118" t="s">
        <v>15</v>
      </c>
      <c r="J118" s="1">
        <v>17072.8</v>
      </c>
    </row>
    <row r="119" spans="1:10" x14ac:dyDescent="0.25">
      <c r="A119" t="str">
        <f t="shared" si="5"/>
        <v>07/20/20</v>
      </c>
      <c r="B119" t="s">
        <v>253</v>
      </c>
      <c r="C119" t="str">
        <f t="shared" si="8"/>
        <v>21216</v>
      </c>
      <c r="D119" t="str">
        <f>"2450 "</f>
        <v xml:space="preserve">2450 </v>
      </c>
      <c r="E119" t="str">
        <f>"031 "</f>
        <v xml:space="preserve">031 </v>
      </c>
      <c r="F119" t="s">
        <v>254</v>
      </c>
      <c r="G119" s="1">
        <v>25000</v>
      </c>
      <c r="H119" t="s">
        <v>14</v>
      </c>
      <c r="I119" t="s">
        <v>34</v>
      </c>
      <c r="J119" s="1">
        <v>23750.07</v>
      </c>
    </row>
    <row r="120" spans="1:10" x14ac:dyDescent="0.25">
      <c r="A120" t="str">
        <f t="shared" si="5"/>
        <v>07/20/20</v>
      </c>
      <c r="B120" t="s">
        <v>255</v>
      </c>
      <c r="C120" t="str">
        <f t="shared" si="8"/>
        <v>21216</v>
      </c>
      <c r="D120" t="str">
        <f>"2409A"</f>
        <v>2409A</v>
      </c>
      <c r="E120" t="str">
        <f>"061 "</f>
        <v xml:space="preserve">061 </v>
      </c>
      <c r="F120" t="s">
        <v>256</v>
      </c>
      <c r="G120" s="1">
        <v>6000</v>
      </c>
      <c r="H120" t="s">
        <v>14</v>
      </c>
      <c r="I120" t="s">
        <v>34</v>
      </c>
      <c r="J120" s="1">
        <v>17074.52</v>
      </c>
    </row>
    <row r="121" spans="1:10" x14ac:dyDescent="0.25">
      <c r="A121" t="str">
        <f t="shared" si="5"/>
        <v>07/20/20</v>
      </c>
      <c r="B121" t="s">
        <v>257</v>
      </c>
      <c r="C121" t="str">
        <f t="shared" si="8"/>
        <v>21216</v>
      </c>
      <c r="D121" t="str">
        <f>"2409A"</f>
        <v>2409A</v>
      </c>
      <c r="E121" t="str">
        <f>"054 "</f>
        <v xml:space="preserve">054 </v>
      </c>
      <c r="F121" t="s">
        <v>258</v>
      </c>
      <c r="G121" s="1">
        <v>25000</v>
      </c>
      <c r="H121" t="s">
        <v>14</v>
      </c>
      <c r="I121" t="s">
        <v>34</v>
      </c>
      <c r="J121" s="1">
        <v>17278.849999999999</v>
      </c>
    </row>
    <row r="122" spans="1:10" x14ac:dyDescent="0.25">
      <c r="A122" t="str">
        <f t="shared" si="5"/>
        <v>07/20/20</v>
      </c>
      <c r="B122" t="s">
        <v>259</v>
      </c>
      <c r="C122" t="str">
        <f t="shared" si="8"/>
        <v>21216</v>
      </c>
      <c r="D122" t="str">
        <f>"2432 "</f>
        <v xml:space="preserve">2432 </v>
      </c>
      <c r="E122" t="str">
        <f>"018 "</f>
        <v xml:space="preserve">018 </v>
      </c>
      <c r="F122" t="s">
        <v>260</v>
      </c>
      <c r="G122" s="1">
        <v>10200</v>
      </c>
      <c r="H122" t="s">
        <v>14</v>
      </c>
      <c r="I122" t="s">
        <v>15</v>
      </c>
      <c r="J122" s="1">
        <v>25065.94</v>
      </c>
    </row>
    <row r="123" spans="1:10" x14ac:dyDescent="0.25">
      <c r="A123" t="str">
        <f t="shared" si="5"/>
        <v>07/20/20</v>
      </c>
      <c r="B123" t="s">
        <v>261</v>
      </c>
      <c r="C123" t="str">
        <f t="shared" si="8"/>
        <v>21216</v>
      </c>
      <c r="D123" t="str">
        <f>"2432 "</f>
        <v xml:space="preserve">2432 </v>
      </c>
      <c r="E123" t="str">
        <f>"016 "</f>
        <v xml:space="preserve">016 </v>
      </c>
      <c r="F123" t="s">
        <v>262</v>
      </c>
      <c r="G123" s="1">
        <v>25000</v>
      </c>
      <c r="H123" t="s">
        <v>14</v>
      </c>
      <c r="I123" t="s">
        <v>15</v>
      </c>
      <c r="J123" s="1">
        <v>15219.56</v>
      </c>
    </row>
    <row r="124" spans="1:10" x14ac:dyDescent="0.25">
      <c r="A124" t="str">
        <f t="shared" si="5"/>
        <v>07/20/20</v>
      </c>
      <c r="B124" t="s">
        <v>263</v>
      </c>
      <c r="C124" t="str">
        <f t="shared" si="8"/>
        <v>21216</v>
      </c>
      <c r="D124" t="str">
        <f>"2451 "</f>
        <v xml:space="preserve">2451 </v>
      </c>
      <c r="E124" t="str">
        <f>"058B"</f>
        <v>058B</v>
      </c>
      <c r="F124" t="s">
        <v>264</v>
      </c>
      <c r="G124" s="1">
        <v>25000</v>
      </c>
      <c r="H124" t="s">
        <v>14</v>
      </c>
      <c r="I124" t="s">
        <v>34</v>
      </c>
      <c r="J124" s="1">
        <v>79116.03</v>
      </c>
    </row>
    <row r="125" spans="1:10" x14ac:dyDescent="0.25">
      <c r="A125" t="str">
        <f t="shared" si="5"/>
        <v>07/20/20</v>
      </c>
      <c r="B125" t="s">
        <v>265</v>
      </c>
      <c r="C125" t="str">
        <f>"21213"</f>
        <v>21213</v>
      </c>
      <c r="D125" t="str">
        <f>"1102 "</f>
        <v xml:space="preserve">1102 </v>
      </c>
      <c r="E125" t="str">
        <f>"041 "</f>
        <v xml:space="preserve">041 </v>
      </c>
      <c r="F125" t="s">
        <v>266</v>
      </c>
      <c r="G125" s="1">
        <v>19000</v>
      </c>
      <c r="H125" t="s">
        <v>33</v>
      </c>
      <c r="I125" t="s">
        <v>34</v>
      </c>
      <c r="J125" s="1">
        <v>48696.82</v>
      </c>
    </row>
    <row r="126" spans="1:10" x14ac:dyDescent="0.25">
      <c r="A126" t="str">
        <f t="shared" si="5"/>
        <v>07/20/20</v>
      </c>
      <c r="B126" t="s">
        <v>267</v>
      </c>
      <c r="C126" t="str">
        <f>"21231"</f>
        <v>21231</v>
      </c>
      <c r="D126" t="str">
        <f>"1699 "</f>
        <v xml:space="preserve">1699 </v>
      </c>
      <c r="E126" t="str">
        <f>"345 "</f>
        <v xml:space="preserve">345 </v>
      </c>
      <c r="F126" t="s">
        <v>268</v>
      </c>
      <c r="G126" s="1">
        <v>45200</v>
      </c>
      <c r="H126" t="s">
        <v>33</v>
      </c>
      <c r="I126" t="s">
        <v>15</v>
      </c>
      <c r="J126" s="1">
        <v>850721.72</v>
      </c>
    </row>
    <row r="127" spans="1:10" x14ac:dyDescent="0.25">
      <c r="A127" t="str">
        <f t="shared" si="5"/>
        <v>07/20/20</v>
      </c>
      <c r="B127" t="s">
        <v>269</v>
      </c>
      <c r="C127" t="str">
        <f t="shared" ref="C127:C134" si="9">"21223"</f>
        <v>21223</v>
      </c>
      <c r="D127" t="str">
        <f>"0179 "</f>
        <v xml:space="preserve">0179 </v>
      </c>
      <c r="E127" t="str">
        <f>"064 "</f>
        <v xml:space="preserve">064 </v>
      </c>
      <c r="F127" t="s">
        <v>270</v>
      </c>
      <c r="G127" s="1">
        <v>4300</v>
      </c>
      <c r="H127" t="s">
        <v>33</v>
      </c>
      <c r="I127" t="s">
        <v>15</v>
      </c>
      <c r="J127" s="1">
        <v>1935.81</v>
      </c>
    </row>
    <row r="128" spans="1:10" x14ac:dyDescent="0.25">
      <c r="A128" t="str">
        <f t="shared" si="5"/>
        <v>07/20/20</v>
      </c>
      <c r="B128" t="s">
        <v>271</v>
      </c>
      <c r="C128" t="str">
        <f t="shared" si="9"/>
        <v>21223</v>
      </c>
      <c r="D128" t="str">
        <f>"0179 "</f>
        <v xml:space="preserve">0179 </v>
      </c>
      <c r="E128" t="str">
        <f>"067 "</f>
        <v xml:space="preserve">067 </v>
      </c>
      <c r="F128" t="s">
        <v>270</v>
      </c>
      <c r="G128" s="1">
        <v>3400</v>
      </c>
      <c r="H128" t="s">
        <v>33</v>
      </c>
      <c r="I128" t="s">
        <v>15</v>
      </c>
      <c r="J128" s="1">
        <v>5959.13</v>
      </c>
    </row>
    <row r="129" spans="1:10" x14ac:dyDescent="0.25">
      <c r="A129" t="str">
        <f t="shared" si="5"/>
        <v>07/20/20</v>
      </c>
      <c r="B129" t="s">
        <v>272</v>
      </c>
      <c r="C129" t="str">
        <f t="shared" si="9"/>
        <v>21223</v>
      </c>
      <c r="D129" t="str">
        <f>"0179 "</f>
        <v xml:space="preserve">0179 </v>
      </c>
      <c r="E129" t="str">
        <f>"068 "</f>
        <v xml:space="preserve">068 </v>
      </c>
      <c r="F129" t="s">
        <v>270</v>
      </c>
      <c r="G129" s="1">
        <v>3400</v>
      </c>
      <c r="H129" t="s">
        <v>33</v>
      </c>
      <c r="I129" t="s">
        <v>15</v>
      </c>
      <c r="J129" s="1">
        <v>6203.93</v>
      </c>
    </row>
    <row r="130" spans="1:10" x14ac:dyDescent="0.25">
      <c r="A130" t="str">
        <f t="shared" si="5"/>
        <v>07/20/20</v>
      </c>
      <c r="B130" t="s">
        <v>273</v>
      </c>
      <c r="C130" t="str">
        <f t="shared" si="9"/>
        <v>21223</v>
      </c>
      <c r="D130" t="str">
        <f>"0149 "</f>
        <v xml:space="preserve">0149 </v>
      </c>
      <c r="E130" t="str">
        <f>"056 "</f>
        <v xml:space="preserve">056 </v>
      </c>
      <c r="F130" t="s">
        <v>274</v>
      </c>
      <c r="G130" s="1">
        <v>500</v>
      </c>
      <c r="H130" t="s">
        <v>33</v>
      </c>
      <c r="I130" t="s">
        <v>15</v>
      </c>
      <c r="J130" s="1">
        <v>13529.49</v>
      </c>
    </row>
    <row r="131" spans="1:10" x14ac:dyDescent="0.25">
      <c r="A131" t="str">
        <f t="shared" ref="A131:A194" si="10">"07/20/20"</f>
        <v>07/20/20</v>
      </c>
      <c r="B131" t="s">
        <v>275</v>
      </c>
      <c r="C131" t="str">
        <f t="shared" si="9"/>
        <v>21223</v>
      </c>
      <c r="D131" t="str">
        <f>"0149 "</f>
        <v xml:space="preserve">0149 </v>
      </c>
      <c r="E131" t="str">
        <f>"027 "</f>
        <v xml:space="preserve">027 </v>
      </c>
      <c r="F131" t="s">
        <v>276</v>
      </c>
      <c r="G131" s="1">
        <v>1000</v>
      </c>
      <c r="H131" t="s">
        <v>33</v>
      </c>
      <c r="I131" t="s">
        <v>15</v>
      </c>
      <c r="J131" s="1">
        <v>7187.68</v>
      </c>
    </row>
    <row r="132" spans="1:10" x14ac:dyDescent="0.25">
      <c r="A132" t="str">
        <f t="shared" si="10"/>
        <v>07/20/20</v>
      </c>
      <c r="B132" t="s">
        <v>277</v>
      </c>
      <c r="C132" t="str">
        <f t="shared" si="9"/>
        <v>21223</v>
      </c>
      <c r="D132" t="str">
        <f>"0149 "</f>
        <v xml:space="preserve">0149 </v>
      </c>
      <c r="E132" t="str">
        <f>"019 "</f>
        <v xml:space="preserve">019 </v>
      </c>
      <c r="F132" t="s">
        <v>278</v>
      </c>
      <c r="G132" s="1">
        <v>17000</v>
      </c>
      <c r="H132" t="s">
        <v>33</v>
      </c>
      <c r="I132" t="s">
        <v>15</v>
      </c>
      <c r="J132" s="1">
        <v>14317.51</v>
      </c>
    </row>
    <row r="133" spans="1:10" x14ac:dyDescent="0.25">
      <c r="A133" t="str">
        <f t="shared" si="10"/>
        <v>07/20/20</v>
      </c>
      <c r="B133" t="s">
        <v>279</v>
      </c>
      <c r="C133" t="str">
        <f t="shared" si="9"/>
        <v>21223</v>
      </c>
      <c r="D133" t="str">
        <f>"0164 "</f>
        <v xml:space="preserve">0164 </v>
      </c>
      <c r="E133" t="str">
        <f>"082 "</f>
        <v xml:space="preserve">082 </v>
      </c>
      <c r="F133" t="s">
        <v>280</v>
      </c>
      <c r="G133" s="1">
        <v>7000</v>
      </c>
      <c r="H133" t="s">
        <v>33</v>
      </c>
      <c r="I133" t="s">
        <v>15</v>
      </c>
      <c r="J133" s="1">
        <v>156682.10999999999</v>
      </c>
    </row>
    <row r="134" spans="1:10" x14ac:dyDescent="0.25">
      <c r="A134" t="str">
        <f t="shared" si="10"/>
        <v>07/20/20</v>
      </c>
      <c r="B134" t="s">
        <v>281</v>
      </c>
      <c r="C134" t="str">
        <f t="shared" si="9"/>
        <v>21223</v>
      </c>
      <c r="D134" t="str">
        <f>"0164 "</f>
        <v xml:space="preserve">0164 </v>
      </c>
      <c r="E134" t="str">
        <f>"078 "</f>
        <v xml:space="preserve">078 </v>
      </c>
      <c r="F134" t="s">
        <v>282</v>
      </c>
      <c r="G134" s="1">
        <v>5100</v>
      </c>
      <c r="H134" t="s">
        <v>33</v>
      </c>
      <c r="I134" t="s">
        <v>15</v>
      </c>
      <c r="J134" s="1">
        <v>37193.760000000002</v>
      </c>
    </row>
    <row r="135" spans="1:10" x14ac:dyDescent="0.25">
      <c r="A135" t="str">
        <f t="shared" si="10"/>
        <v>07/20/20</v>
      </c>
      <c r="B135" t="s">
        <v>283</v>
      </c>
      <c r="C135" t="str">
        <f>"00000"</f>
        <v>00000</v>
      </c>
      <c r="D135" t="str">
        <f>"0179 "</f>
        <v xml:space="preserve">0179 </v>
      </c>
      <c r="E135" t="str">
        <f>"066 "</f>
        <v xml:space="preserve">066 </v>
      </c>
      <c r="F135" t="s">
        <v>270</v>
      </c>
      <c r="G135" s="1">
        <v>3400</v>
      </c>
      <c r="H135" t="s">
        <v>33</v>
      </c>
      <c r="I135" t="s">
        <v>15</v>
      </c>
      <c r="J135" s="1">
        <v>5523.79</v>
      </c>
    </row>
    <row r="136" spans="1:10" x14ac:dyDescent="0.25">
      <c r="A136" t="str">
        <f t="shared" si="10"/>
        <v>07/20/20</v>
      </c>
      <c r="B136" t="s">
        <v>284</v>
      </c>
      <c r="C136" t="str">
        <f>"00000"</f>
        <v>00000</v>
      </c>
      <c r="D136" t="str">
        <f>"0179 "</f>
        <v xml:space="preserve">0179 </v>
      </c>
      <c r="E136" t="str">
        <f>"065 "</f>
        <v xml:space="preserve">065 </v>
      </c>
      <c r="F136" t="s">
        <v>270</v>
      </c>
      <c r="G136" s="1">
        <v>3400</v>
      </c>
      <c r="H136" t="s">
        <v>33</v>
      </c>
      <c r="I136" t="s">
        <v>15</v>
      </c>
      <c r="J136" s="1">
        <v>7260.28</v>
      </c>
    </row>
    <row r="137" spans="1:10" x14ac:dyDescent="0.25">
      <c r="A137" t="str">
        <f t="shared" si="10"/>
        <v>07/20/20</v>
      </c>
      <c r="B137" t="s">
        <v>285</v>
      </c>
      <c r="C137" t="str">
        <f>"21223"</f>
        <v>21223</v>
      </c>
      <c r="D137" t="str">
        <f>"0276 "</f>
        <v xml:space="preserve">0276 </v>
      </c>
      <c r="E137" t="str">
        <f>"085 "</f>
        <v xml:space="preserve">085 </v>
      </c>
      <c r="F137" t="s">
        <v>286</v>
      </c>
      <c r="G137" s="1">
        <v>7000</v>
      </c>
      <c r="H137" t="s">
        <v>33</v>
      </c>
      <c r="I137" t="s">
        <v>15</v>
      </c>
      <c r="J137" s="1">
        <v>11919.54</v>
      </c>
    </row>
    <row r="138" spans="1:10" x14ac:dyDescent="0.25">
      <c r="A138" t="str">
        <f t="shared" si="10"/>
        <v>07/20/20</v>
      </c>
      <c r="B138" t="s">
        <v>287</v>
      </c>
      <c r="C138" t="str">
        <f t="shared" ref="C138:C145" si="11">"21217"</f>
        <v>21217</v>
      </c>
      <c r="D138" t="str">
        <f>"0027 "</f>
        <v xml:space="preserve">0027 </v>
      </c>
      <c r="E138" t="str">
        <f>"073 "</f>
        <v xml:space="preserve">073 </v>
      </c>
      <c r="F138" t="s">
        <v>288</v>
      </c>
      <c r="G138" s="1">
        <v>1000</v>
      </c>
      <c r="H138" t="s">
        <v>33</v>
      </c>
      <c r="I138" t="s">
        <v>15</v>
      </c>
      <c r="J138" s="1">
        <v>377.5</v>
      </c>
    </row>
    <row r="139" spans="1:10" x14ac:dyDescent="0.25">
      <c r="A139" t="str">
        <f t="shared" si="10"/>
        <v>07/20/20</v>
      </c>
      <c r="B139" t="s">
        <v>289</v>
      </c>
      <c r="C139" t="str">
        <f t="shared" si="11"/>
        <v>21217</v>
      </c>
      <c r="D139" t="str">
        <f>"3234 "</f>
        <v xml:space="preserve">3234 </v>
      </c>
      <c r="E139" t="str">
        <f>"015L"</f>
        <v>015L</v>
      </c>
      <c r="F139" t="s">
        <v>290</v>
      </c>
      <c r="G139" s="1">
        <v>36200</v>
      </c>
      <c r="H139" t="s">
        <v>30</v>
      </c>
      <c r="I139" t="s">
        <v>15</v>
      </c>
      <c r="J139" s="1">
        <v>5736.92</v>
      </c>
    </row>
    <row r="140" spans="1:10" x14ac:dyDescent="0.25">
      <c r="A140" t="str">
        <f t="shared" si="10"/>
        <v>07/20/20</v>
      </c>
      <c r="B140" t="s">
        <v>291</v>
      </c>
      <c r="C140" t="str">
        <f t="shared" si="11"/>
        <v>21217</v>
      </c>
      <c r="D140" t="str">
        <f>"3241 "</f>
        <v xml:space="preserve">3241 </v>
      </c>
      <c r="E140" t="str">
        <f>"024 "</f>
        <v xml:space="preserve">024 </v>
      </c>
      <c r="F140" t="s">
        <v>292</v>
      </c>
      <c r="G140" s="1">
        <v>68800</v>
      </c>
      <c r="H140" t="s">
        <v>30</v>
      </c>
      <c r="I140" t="s">
        <v>15</v>
      </c>
      <c r="J140" s="1">
        <v>15675.55</v>
      </c>
    </row>
    <row r="141" spans="1:10" x14ac:dyDescent="0.25">
      <c r="A141" t="str">
        <f t="shared" si="10"/>
        <v>07/20/20</v>
      </c>
      <c r="B141" t="s">
        <v>293</v>
      </c>
      <c r="C141" t="str">
        <f t="shared" si="11"/>
        <v>21217</v>
      </c>
      <c r="D141" t="str">
        <f>"3241 "</f>
        <v xml:space="preserve">3241 </v>
      </c>
      <c r="E141" t="str">
        <f>"026 "</f>
        <v xml:space="preserve">026 </v>
      </c>
      <c r="F141" t="s">
        <v>294</v>
      </c>
      <c r="G141" s="1">
        <v>135800</v>
      </c>
      <c r="H141" t="s">
        <v>30</v>
      </c>
      <c r="I141" t="s">
        <v>15</v>
      </c>
      <c r="J141" s="1">
        <v>112137.32</v>
      </c>
    </row>
    <row r="142" spans="1:10" x14ac:dyDescent="0.25">
      <c r="A142" t="str">
        <f t="shared" si="10"/>
        <v>07/20/20</v>
      </c>
      <c r="B142" t="s">
        <v>295</v>
      </c>
      <c r="C142" t="str">
        <f t="shared" si="11"/>
        <v>21217</v>
      </c>
      <c r="D142" t="str">
        <f>"0035 "</f>
        <v xml:space="preserve">0035 </v>
      </c>
      <c r="E142" t="str">
        <f>"074 "</f>
        <v xml:space="preserve">074 </v>
      </c>
      <c r="F142" t="s">
        <v>296</v>
      </c>
      <c r="G142" s="1">
        <v>1000</v>
      </c>
      <c r="H142" t="s">
        <v>33</v>
      </c>
      <c r="I142" t="s">
        <v>15</v>
      </c>
      <c r="J142" s="1">
        <v>10514.75</v>
      </c>
    </row>
    <row r="143" spans="1:10" x14ac:dyDescent="0.25">
      <c r="A143" t="str">
        <f t="shared" si="10"/>
        <v>07/20/20</v>
      </c>
      <c r="B143" t="s">
        <v>297</v>
      </c>
      <c r="C143" t="str">
        <f t="shared" si="11"/>
        <v>21217</v>
      </c>
      <c r="D143" t="str">
        <f>"0035 "</f>
        <v xml:space="preserve">0035 </v>
      </c>
      <c r="E143" t="str">
        <f>"043 "</f>
        <v xml:space="preserve">043 </v>
      </c>
      <c r="F143" t="s">
        <v>298</v>
      </c>
      <c r="G143" s="1">
        <v>4000</v>
      </c>
      <c r="H143" t="s">
        <v>33</v>
      </c>
      <c r="I143" t="s">
        <v>15</v>
      </c>
      <c r="J143" s="1">
        <v>11167.14</v>
      </c>
    </row>
    <row r="144" spans="1:10" x14ac:dyDescent="0.25">
      <c r="A144" t="str">
        <f t="shared" si="10"/>
        <v>07/20/20</v>
      </c>
      <c r="B144" t="s">
        <v>299</v>
      </c>
      <c r="C144" t="str">
        <f t="shared" si="11"/>
        <v>21217</v>
      </c>
      <c r="D144" t="str">
        <f>"0010 "</f>
        <v xml:space="preserve">0010 </v>
      </c>
      <c r="E144" t="str">
        <f>"016 "</f>
        <v xml:space="preserve">016 </v>
      </c>
      <c r="F144" t="s">
        <v>300</v>
      </c>
      <c r="G144" s="1">
        <v>7000</v>
      </c>
      <c r="H144" t="s">
        <v>33</v>
      </c>
      <c r="I144" t="s">
        <v>34</v>
      </c>
      <c r="J144" s="1">
        <v>410.93</v>
      </c>
    </row>
    <row r="145" spans="1:10" x14ac:dyDescent="0.25">
      <c r="A145" t="str">
        <f t="shared" si="10"/>
        <v>07/20/20</v>
      </c>
      <c r="B145" t="s">
        <v>301</v>
      </c>
      <c r="C145" t="str">
        <f t="shared" si="11"/>
        <v>21217</v>
      </c>
      <c r="D145" t="str">
        <f>"0010 "</f>
        <v xml:space="preserve">0010 </v>
      </c>
      <c r="E145" t="str">
        <f>"010 "</f>
        <v xml:space="preserve">010 </v>
      </c>
      <c r="F145" t="s">
        <v>302</v>
      </c>
      <c r="G145" s="1">
        <v>7000</v>
      </c>
      <c r="H145" t="s">
        <v>33</v>
      </c>
      <c r="I145" t="s">
        <v>34</v>
      </c>
      <c r="J145" s="1">
        <v>7967.26</v>
      </c>
    </row>
    <row r="146" spans="1:10" x14ac:dyDescent="0.25">
      <c r="A146" t="str">
        <f t="shared" si="10"/>
        <v>07/20/20</v>
      </c>
      <c r="B146" t="s">
        <v>303</v>
      </c>
      <c r="C146" t="str">
        <f t="shared" ref="C146:C154" si="12">"21223"</f>
        <v>21223</v>
      </c>
      <c r="D146" t="str">
        <f>"0264 "</f>
        <v xml:space="preserve">0264 </v>
      </c>
      <c r="E146" t="str">
        <f>"048 "</f>
        <v xml:space="preserve">048 </v>
      </c>
      <c r="F146" t="s">
        <v>304</v>
      </c>
      <c r="G146" s="1">
        <v>38000</v>
      </c>
      <c r="H146" t="s">
        <v>33</v>
      </c>
      <c r="I146" t="s">
        <v>34</v>
      </c>
      <c r="J146" s="1">
        <v>19247.849999999999</v>
      </c>
    </row>
    <row r="147" spans="1:10" x14ac:dyDescent="0.25">
      <c r="A147" t="str">
        <f t="shared" si="10"/>
        <v>07/20/20</v>
      </c>
      <c r="B147" t="s">
        <v>305</v>
      </c>
      <c r="C147" t="str">
        <f t="shared" si="12"/>
        <v>21223</v>
      </c>
      <c r="D147" t="str">
        <f>"0709 "</f>
        <v xml:space="preserve">0709 </v>
      </c>
      <c r="E147" t="str">
        <f>"018 "</f>
        <v xml:space="preserve">018 </v>
      </c>
      <c r="F147" t="s">
        <v>306</v>
      </c>
      <c r="G147" s="1">
        <v>1000</v>
      </c>
      <c r="H147" t="s">
        <v>33</v>
      </c>
      <c r="I147" t="s">
        <v>15</v>
      </c>
      <c r="J147" s="1">
        <v>9233.7999999999993</v>
      </c>
    </row>
    <row r="148" spans="1:10" x14ac:dyDescent="0.25">
      <c r="A148" t="str">
        <f t="shared" si="10"/>
        <v>07/20/20</v>
      </c>
      <c r="B148" t="s">
        <v>307</v>
      </c>
      <c r="C148" t="str">
        <f t="shared" si="12"/>
        <v>21223</v>
      </c>
      <c r="D148" t="str">
        <f>"0281 "</f>
        <v xml:space="preserve">0281 </v>
      </c>
      <c r="E148" t="str">
        <f>"039 "</f>
        <v xml:space="preserve">039 </v>
      </c>
      <c r="F148" t="s">
        <v>308</v>
      </c>
      <c r="G148" s="1">
        <v>7000</v>
      </c>
      <c r="H148" t="s">
        <v>33</v>
      </c>
      <c r="I148" t="s">
        <v>34</v>
      </c>
      <c r="J148" s="1">
        <v>1407.35</v>
      </c>
    </row>
    <row r="149" spans="1:10" x14ac:dyDescent="0.25">
      <c r="A149" t="str">
        <f t="shared" si="10"/>
        <v>07/20/20</v>
      </c>
      <c r="B149" t="s">
        <v>309</v>
      </c>
      <c r="C149" t="str">
        <f t="shared" si="12"/>
        <v>21223</v>
      </c>
      <c r="D149" t="str">
        <f>"0197 "</f>
        <v xml:space="preserve">0197 </v>
      </c>
      <c r="E149" t="str">
        <f>"046 "</f>
        <v xml:space="preserve">046 </v>
      </c>
      <c r="F149" t="s">
        <v>310</v>
      </c>
      <c r="G149" s="1">
        <v>11300</v>
      </c>
      <c r="H149" t="s">
        <v>33</v>
      </c>
      <c r="I149" t="s">
        <v>15</v>
      </c>
      <c r="J149" s="1">
        <v>73240.679999999993</v>
      </c>
    </row>
    <row r="150" spans="1:10" x14ac:dyDescent="0.25">
      <c r="A150" t="str">
        <f t="shared" si="10"/>
        <v>07/20/20</v>
      </c>
      <c r="B150" t="s">
        <v>311</v>
      </c>
      <c r="C150" t="str">
        <f t="shared" si="12"/>
        <v>21223</v>
      </c>
      <c r="D150" t="str">
        <f>"0124 "</f>
        <v xml:space="preserve">0124 </v>
      </c>
      <c r="E150" t="str">
        <f>"010 "</f>
        <v xml:space="preserve">010 </v>
      </c>
      <c r="F150" t="s">
        <v>312</v>
      </c>
      <c r="G150" s="1">
        <v>3000</v>
      </c>
      <c r="H150" t="s">
        <v>33</v>
      </c>
      <c r="I150" t="s">
        <v>15</v>
      </c>
      <c r="J150" s="1">
        <v>6237.63</v>
      </c>
    </row>
    <row r="151" spans="1:10" x14ac:dyDescent="0.25">
      <c r="A151" t="str">
        <f t="shared" si="10"/>
        <v>07/20/20</v>
      </c>
      <c r="B151" t="s">
        <v>313</v>
      </c>
      <c r="C151" t="str">
        <f t="shared" si="12"/>
        <v>21223</v>
      </c>
      <c r="D151" t="str">
        <f>"0124 "</f>
        <v xml:space="preserve">0124 </v>
      </c>
      <c r="E151" t="str">
        <f>"008 "</f>
        <v xml:space="preserve">008 </v>
      </c>
      <c r="F151" t="s">
        <v>314</v>
      </c>
      <c r="G151" s="1">
        <v>12000</v>
      </c>
      <c r="H151" t="s">
        <v>33</v>
      </c>
      <c r="I151" t="s">
        <v>15</v>
      </c>
      <c r="J151" s="1">
        <v>78176.53</v>
      </c>
    </row>
    <row r="152" spans="1:10" x14ac:dyDescent="0.25">
      <c r="A152" t="str">
        <f t="shared" si="10"/>
        <v>07/20/20</v>
      </c>
      <c r="B152" t="s">
        <v>315</v>
      </c>
      <c r="C152" t="str">
        <f t="shared" si="12"/>
        <v>21223</v>
      </c>
      <c r="D152" t="str">
        <f>"0197 "</f>
        <v xml:space="preserve">0197 </v>
      </c>
      <c r="E152" t="str">
        <f>"047 "</f>
        <v xml:space="preserve">047 </v>
      </c>
      <c r="F152" t="s">
        <v>316</v>
      </c>
      <c r="G152" s="1">
        <v>15000</v>
      </c>
      <c r="H152" t="s">
        <v>33</v>
      </c>
      <c r="I152" t="s">
        <v>15</v>
      </c>
      <c r="J152" s="1">
        <v>63608.75</v>
      </c>
    </row>
    <row r="153" spans="1:10" x14ac:dyDescent="0.25">
      <c r="A153" t="str">
        <f t="shared" si="10"/>
        <v>07/20/20</v>
      </c>
      <c r="B153" t="s">
        <v>317</v>
      </c>
      <c r="C153" t="str">
        <f t="shared" si="12"/>
        <v>21223</v>
      </c>
      <c r="D153" t="str">
        <f>"0125 "</f>
        <v xml:space="preserve">0125 </v>
      </c>
      <c r="E153" t="str">
        <f>"046 "</f>
        <v xml:space="preserve">046 </v>
      </c>
      <c r="F153" t="s">
        <v>318</v>
      </c>
      <c r="G153" s="1">
        <v>3000</v>
      </c>
      <c r="H153" t="s">
        <v>33</v>
      </c>
      <c r="I153" t="s">
        <v>15</v>
      </c>
      <c r="J153" s="1">
        <v>42748.22</v>
      </c>
    </row>
    <row r="154" spans="1:10" x14ac:dyDescent="0.25">
      <c r="A154" t="str">
        <f t="shared" si="10"/>
        <v>07/20/20</v>
      </c>
      <c r="B154" t="s">
        <v>319</v>
      </c>
      <c r="C154" t="str">
        <f t="shared" si="12"/>
        <v>21223</v>
      </c>
      <c r="D154" t="str">
        <f>"0125 "</f>
        <v xml:space="preserve">0125 </v>
      </c>
      <c r="E154" t="str">
        <f>"047 "</f>
        <v xml:space="preserve">047 </v>
      </c>
      <c r="F154" t="s">
        <v>320</v>
      </c>
      <c r="G154" s="1">
        <v>3000</v>
      </c>
      <c r="H154" t="s">
        <v>33</v>
      </c>
      <c r="I154" t="s">
        <v>15</v>
      </c>
      <c r="J154" s="1">
        <v>14508.05</v>
      </c>
    </row>
    <row r="155" spans="1:10" x14ac:dyDescent="0.25">
      <c r="A155" t="str">
        <f t="shared" si="10"/>
        <v>07/20/20</v>
      </c>
      <c r="B155" t="s">
        <v>321</v>
      </c>
      <c r="C155" t="str">
        <f>"21217"</f>
        <v>21217</v>
      </c>
      <c r="D155" t="str">
        <f>"0101 "</f>
        <v xml:space="preserve">0101 </v>
      </c>
      <c r="E155" t="str">
        <f>"034 "</f>
        <v xml:space="preserve">034 </v>
      </c>
      <c r="F155" t="s">
        <v>322</v>
      </c>
      <c r="G155" s="1">
        <v>6000</v>
      </c>
      <c r="H155" t="s">
        <v>33</v>
      </c>
      <c r="I155" t="s">
        <v>15</v>
      </c>
      <c r="J155" s="1">
        <v>3533.99</v>
      </c>
    </row>
    <row r="156" spans="1:10" x14ac:dyDescent="0.25">
      <c r="A156" t="str">
        <f t="shared" si="10"/>
        <v>07/20/20</v>
      </c>
      <c r="B156" t="s">
        <v>323</v>
      </c>
      <c r="C156" t="str">
        <f>"21217"</f>
        <v>21217</v>
      </c>
      <c r="D156" t="str">
        <f>"0077 "</f>
        <v xml:space="preserve">0077 </v>
      </c>
      <c r="E156" t="str">
        <f>"029 "</f>
        <v xml:space="preserve">029 </v>
      </c>
      <c r="F156" t="s">
        <v>324</v>
      </c>
      <c r="G156" s="1">
        <v>1000</v>
      </c>
      <c r="H156" t="s">
        <v>33</v>
      </c>
      <c r="I156" t="s">
        <v>15</v>
      </c>
      <c r="J156" s="1">
        <v>12097.86</v>
      </c>
    </row>
    <row r="157" spans="1:10" x14ac:dyDescent="0.25">
      <c r="A157" t="str">
        <f t="shared" si="10"/>
        <v>07/20/20</v>
      </c>
      <c r="B157" t="s">
        <v>325</v>
      </c>
      <c r="C157" t="str">
        <f>"21217"</f>
        <v>21217</v>
      </c>
      <c r="D157" t="str">
        <f>"3457 "</f>
        <v xml:space="preserve">3457 </v>
      </c>
      <c r="E157" t="str">
        <f>"034 "</f>
        <v xml:space="preserve">034 </v>
      </c>
      <c r="F157" t="s">
        <v>326</v>
      </c>
      <c r="G157" s="1">
        <v>2600</v>
      </c>
      <c r="H157" t="s">
        <v>30</v>
      </c>
      <c r="I157" t="s">
        <v>15</v>
      </c>
      <c r="J157" s="1">
        <v>11031.14</v>
      </c>
    </row>
    <row r="158" spans="1:10" x14ac:dyDescent="0.25">
      <c r="A158" t="str">
        <f t="shared" si="10"/>
        <v>07/20/20</v>
      </c>
      <c r="B158" t="s">
        <v>327</v>
      </c>
      <c r="C158" t="str">
        <f>"21223"</f>
        <v>21223</v>
      </c>
      <c r="D158" t="str">
        <f>"0204 "</f>
        <v xml:space="preserve">0204 </v>
      </c>
      <c r="E158" t="str">
        <f>"068 "</f>
        <v xml:space="preserve">068 </v>
      </c>
      <c r="F158" t="s">
        <v>328</v>
      </c>
      <c r="G158" s="1">
        <v>3000</v>
      </c>
      <c r="H158" t="s">
        <v>33</v>
      </c>
      <c r="I158" t="s">
        <v>34</v>
      </c>
      <c r="J158" s="1">
        <v>501.99</v>
      </c>
    </row>
    <row r="159" spans="1:10" x14ac:dyDescent="0.25">
      <c r="A159" t="str">
        <f t="shared" si="10"/>
        <v>07/20/20</v>
      </c>
      <c r="B159" t="s">
        <v>329</v>
      </c>
      <c r="C159" t="str">
        <f>"21216"</f>
        <v>21216</v>
      </c>
      <c r="D159" t="str">
        <f>"2359 "</f>
        <v xml:space="preserve">2359 </v>
      </c>
      <c r="E159" t="str">
        <f>"018 "</f>
        <v xml:space="preserve">018 </v>
      </c>
      <c r="F159" t="s">
        <v>330</v>
      </c>
      <c r="G159" s="1">
        <v>25500</v>
      </c>
      <c r="H159" t="s">
        <v>14</v>
      </c>
      <c r="I159" t="s">
        <v>34</v>
      </c>
      <c r="J159" s="1">
        <v>16406.240000000002</v>
      </c>
    </row>
    <row r="160" spans="1:10" x14ac:dyDescent="0.25">
      <c r="A160" t="str">
        <f t="shared" si="10"/>
        <v>07/20/20</v>
      </c>
      <c r="B160" t="s">
        <v>331</v>
      </c>
      <c r="C160" t="str">
        <f>"21216"</f>
        <v>21216</v>
      </c>
      <c r="D160" t="str">
        <f>"2364 "</f>
        <v xml:space="preserve">2364 </v>
      </c>
      <c r="E160" t="str">
        <f>"026 "</f>
        <v xml:space="preserve">026 </v>
      </c>
      <c r="F160" t="s">
        <v>332</v>
      </c>
      <c r="G160" s="1">
        <v>25500</v>
      </c>
      <c r="H160" t="s">
        <v>14</v>
      </c>
      <c r="I160" t="s">
        <v>34</v>
      </c>
      <c r="J160" s="1">
        <v>21800.66</v>
      </c>
    </row>
    <row r="161" spans="1:10" x14ac:dyDescent="0.25">
      <c r="A161" t="str">
        <f t="shared" si="10"/>
        <v>07/20/20</v>
      </c>
      <c r="B161" t="s">
        <v>333</v>
      </c>
      <c r="C161" t="str">
        <f>"21216"</f>
        <v>21216</v>
      </c>
      <c r="D161" t="str">
        <f>"2364 "</f>
        <v xml:space="preserve">2364 </v>
      </c>
      <c r="E161" t="str">
        <f>"036 "</f>
        <v xml:space="preserve">036 </v>
      </c>
      <c r="F161" t="s">
        <v>334</v>
      </c>
      <c r="G161" s="1">
        <v>24900</v>
      </c>
      <c r="H161" t="s">
        <v>14</v>
      </c>
      <c r="I161" t="s">
        <v>34</v>
      </c>
      <c r="J161" s="1">
        <v>13480.89</v>
      </c>
    </row>
    <row r="162" spans="1:10" x14ac:dyDescent="0.25">
      <c r="A162" t="str">
        <f t="shared" si="10"/>
        <v>07/20/20</v>
      </c>
      <c r="B162" t="s">
        <v>335</v>
      </c>
      <c r="C162" t="str">
        <f>"21223"</f>
        <v>21223</v>
      </c>
      <c r="D162" t="str">
        <f>"0125 "</f>
        <v xml:space="preserve">0125 </v>
      </c>
      <c r="E162" t="str">
        <f>"006 "</f>
        <v xml:space="preserve">006 </v>
      </c>
      <c r="F162" t="s">
        <v>336</v>
      </c>
      <c r="G162" s="1">
        <v>3000</v>
      </c>
      <c r="H162" t="s">
        <v>33</v>
      </c>
      <c r="I162" t="s">
        <v>34</v>
      </c>
      <c r="J162" s="1">
        <v>63897.06</v>
      </c>
    </row>
    <row r="163" spans="1:10" x14ac:dyDescent="0.25">
      <c r="A163" t="str">
        <f t="shared" si="10"/>
        <v>07/20/20</v>
      </c>
      <c r="B163" t="s">
        <v>337</v>
      </c>
      <c r="C163" t="str">
        <f>"21223"</f>
        <v>21223</v>
      </c>
      <c r="D163" t="str">
        <f>"0126 "</f>
        <v xml:space="preserve">0126 </v>
      </c>
      <c r="E163" t="str">
        <f>"043 "</f>
        <v xml:space="preserve">043 </v>
      </c>
      <c r="F163" t="s">
        <v>338</v>
      </c>
      <c r="G163" s="1">
        <v>4000</v>
      </c>
      <c r="H163" t="s">
        <v>33</v>
      </c>
      <c r="I163" t="s">
        <v>15</v>
      </c>
      <c r="J163" s="1">
        <v>7232.93</v>
      </c>
    </row>
    <row r="164" spans="1:10" x14ac:dyDescent="0.25">
      <c r="A164" t="str">
        <f t="shared" si="10"/>
        <v>07/20/20</v>
      </c>
      <c r="B164" t="s">
        <v>339</v>
      </c>
      <c r="C164" t="str">
        <f>"21223"</f>
        <v>21223</v>
      </c>
      <c r="D164" t="str">
        <f>"0126 "</f>
        <v xml:space="preserve">0126 </v>
      </c>
      <c r="E164" t="str">
        <f>"033 "</f>
        <v xml:space="preserve">033 </v>
      </c>
      <c r="F164" t="s">
        <v>340</v>
      </c>
      <c r="G164" s="1">
        <v>4000</v>
      </c>
      <c r="H164" t="s">
        <v>33</v>
      </c>
      <c r="I164" t="s">
        <v>15</v>
      </c>
      <c r="J164" s="1">
        <v>47811.55</v>
      </c>
    </row>
    <row r="165" spans="1:10" x14ac:dyDescent="0.25">
      <c r="A165" t="str">
        <f t="shared" si="10"/>
        <v>07/20/20</v>
      </c>
      <c r="B165" t="s">
        <v>341</v>
      </c>
      <c r="C165" t="str">
        <f>"21223"</f>
        <v>21223</v>
      </c>
      <c r="D165" t="str">
        <f>"0126 "</f>
        <v xml:space="preserve">0126 </v>
      </c>
      <c r="E165" t="str">
        <f>"037 "</f>
        <v xml:space="preserve">037 </v>
      </c>
      <c r="F165" t="s">
        <v>342</v>
      </c>
      <c r="G165" s="1">
        <v>4000</v>
      </c>
      <c r="H165" t="s">
        <v>33</v>
      </c>
      <c r="I165" t="s">
        <v>15</v>
      </c>
      <c r="J165" s="1">
        <v>37314.589999999997</v>
      </c>
    </row>
    <row r="166" spans="1:10" x14ac:dyDescent="0.25">
      <c r="A166" t="str">
        <f t="shared" si="10"/>
        <v>07/20/20</v>
      </c>
      <c r="B166" t="s">
        <v>343</v>
      </c>
      <c r="C166" t="str">
        <f>"21223"</f>
        <v>21223</v>
      </c>
      <c r="D166" t="str">
        <f>"0126 "</f>
        <v xml:space="preserve">0126 </v>
      </c>
      <c r="E166" t="str">
        <f>"034 "</f>
        <v xml:space="preserve">034 </v>
      </c>
      <c r="F166" t="s">
        <v>344</v>
      </c>
      <c r="G166" s="1">
        <v>4000</v>
      </c>
      <c r="H166" t="s">
        <v>33</v>
      </c>
      <c r="I166" t="s">
        <v>15</v>
      </c>
      <c r="J166" s="1">
        <v>45001.55</v>
      </c>
    </row>
    <row r="167" spans="1:10" x14ac:dyDescent="0.25">
      <c r="A167" t="str">
        <f t="shared" si="10"/>
        <v>07/20/20</v>
      </c>
      <c r="B167" t="s">
        <v>345</v>
      </c>
      <c r="C167" t="str">
        <f t="shared" ref="C167:C174" si="13">"21217"</f>
        <v>21217</v>
      </c>
      <c r="D167" t="str">
        <f>"0090 "</f>
        <v xml:space="preserve">0090 </v>
      </c>
      <c r="E167" t="str">
        <f>"022 "</f>
        <v xml:space="preserve">022 </v>
      </c>
      <c r="F167" t="s">
        <v>346</v>
      </c>
      <c r="G167" s="1">
        <v>1000</v>
      </c>
      <c r="H167" t="s">
        <v>33</v>
      </c>
      <c r="I167" t="s">
        <v>15</v>
      </c>
      <c r="J167" s="1">
        <v>133347.71</v>
      </c>
    </row>
    <row r="168" spans="1:10" x14ac:dyDescent="0.25">
      <c r="A168" t="str">
        <f t="shared" si="10"/>
        <v>07/20/20</v>
      </c>
      <c r="B168" t="s">
        <v>347</v>
      </c>
      <c r="C168" t="str">
        <f t="shared" si="13"/>
        <v>21217</v>
      </c>
      <c r="D168" t="str">
        <f>"0055C"</f>
        <v>0055C</v>
      </c>
      <c r="E168" t="str">
        <f>"006 "</f>
        <v xml:space="preserve">006 </v>
      </c>
      <c r="F168" t="s">
        <v>348</v>
      </c>
      <c r="G168" s="1">
        <v>6000</v>
      </c>
      <c r="H168" t="s">
        <v>33</v>
      </c>
      <c r="I168" t="s">
        <v>34</v>
      </c>
      <c r="J168" s="1">
        <v>1225.58</v>
      </c>
    </row>
    <row r="169" spans="1:10" x14ac:dyDescent="0.25">
      <c r="A169" t="str">
        <f t="shared" si="10"/>
        <v>07/20/20</v>
      </c>
      <c r="B169" t="s">
        <v>349</v>
      </c>
      <c r="C169" t="str">
        <f t="shared" si="13"/>
        <v>21217</v>
      </c>
      <c r="D169" t="str">
        <f>"0055C"</f>
        <v>0055C</v>
      </c>
      <c r="E169" t="str">
        <f>"002 "</f>
        <v xml:space="preserve">002 </v>
      </c>
      <c r="F169" t="s">
        <v>350</v>
      </c>
      <c r="G169" s="1">
        <v>6000</v>
      </c>
      <c r="H169" t="s">
        <v>33</v>
      </c>
      <c r="I169" t="s">
        <v>15</v>
      </c>
      <c r="J169" s="1">
        <v>4760.37</v>
      </c>
    </row>
    <row r="170" spans="1:10" x14ac:dyDescent="0.25">
      <c r="A170" t="str">
        <f t="shared" si="10"/>
        <v>07/20/20</v>
      </c>
      <c r="B170" t="s">
        <v>351</v>
      </c>
      <c r="C170" t="str">
        <f t="shared" si="13"/>
        <v>21217</v>
      </c>
      <c r="D170" t="str">
        <f>"0055C"</f>
        <v>0055C</v>
      </c>
      <c r="E170" t="str">
        <f>"001 "</f>
        <v xml:space="preserve">001 </v>
      </c>
      <c r="F170" t="s">
        <v>352</v>
      </c>
      <c r="G170" s="1">
        <v>6000</v>
      </c>
      <c r="H170" t="s">
        <v>33</v>
      </c>
      <c r="I170" t="s">
        <v>15</v>
      </c>
      <c r="J170" s="1">
        <v>581.9</v>
      </c>
    </row>
    <row r="171" spans="1:10" x14ac:dyDescent="0.25">
      <c r="A171" t="str">
        <f t="shared" si="10"/>
        <v>07/20/20</v>
      </c>
      <c r="B171" t="s">
        <v>353</v>
      </c>
      <c r="C171" t="str">
        <f t="shared" si="13"/>
        <v>21217</v>
      </c>
      <c r="D171" t="str">
        <f>"0055B"</f>
        <v>0055B</v>
      </c>
      <c r="E171" t="str">
        <f>"019 "</f>
        <v xml:space="preserve">019 </v>
      </c>
      <c r="F171" t="s">
        <v>354</v>
      </c>
      <c r="G171" s="1">
        <v>16200</v>
      </c>
      <c r="H171" t="s">
        <v>33</v>
      </c>
      <c r="I171" t="s">
        <v>15</v>
      </c>
      <c r="J171" s="1">
        <v>8870.7900000000009</v>
      </c>
    </row>
    <row r="172" spans="1:10" x14ac:dyDescent="0.25">
      <c r="A172" t="str">
        <f t="shared" si="10"/>
        <v>07/20/20</v>
      </c>
      <c r="B172" t="s">
        <v>355</v>
      </c>
      <c r="C172" t="str">
        <f t="shared" si="13"/>
        <v>21217</v>
      </c>
      <c r="D172" t="str">
        <f>"0055B"</f>
        <v>0055B</v>
      </c>
      <c r="E172" t="str">
        <f>"002 "</f>
        <v xml:space="preserve">002 </v>
      </c>
      <c r="F172" t="s">
        <v>356</v>
      </c>
      <c r="G172" s="1">
        <v>1000</v>
      </c>
      <c r="H172" t="s">
        <v>33</v>
      </c>
      <c r="I172" t="s">
        <v>15</v>
      </c>
      <c r="J172" s="1">
        <v>153068.82999999999</v>
      </c>
    </row>
    <row r="173" spans="1:10" x14ac:dyDescent="0.25">
      <c r="A173" t="str">
        <f t="shared" si="10"/>
        <v>07/20/20</v>
      </c>
      <c r="B173" t="s">
        <v>357</v>
      </c>
      <c r="C173" t="str">
        <f t="shared" si="13"/>
        <v>21217</v>
      </c>
      <c r="D173" t="str">
        <f>"0112 "</f>
        <v xml:space="preserve">0112 </v>
      </c>
      <c r="E173" t="str">
        <f>"010 "</f>
        <v xml:space="preserve">010 </v>
      </c>
      <c r="F173" t="s">
        <v>358</v>
      </c>
      <c r="G173" s="1">
        <v>6000</v>
      </c>
      <c r="H173" t="s">
        <v>33</v>
      </c>
      <c r="I173" t="s">
        <v>15</v>
      </c>
      <c r="J173" s="1">
        <v>16727.16</v>
      </c>
    </row>
    <row r="174" spans="1:10" x14ac:dyDescent="0.25">
      <c r="A174" t="str">
        <f t="shared" si="10"/>
        <v>07/20/20</v>
      </c>
      <c r="B174" t="s">
        <v>359</v>
      </c>
      <c r="C174" t="str">
        <f t="shared" si="13"/>
        <v>21217</v>
      </c>
      <c r="D174" t="str">
        <f>"0112 "</f>
        <v xml:space="preserve">0112 </v>
      </c>
      <c r="E174" t="str">
        <f>"005 "</f>
        <v xml:space="preserve">005 </v>
      </c>
      <c r="F174" t="s">
        <v>360</v>
      </c>
      <c r="G174" s="1">
        <v>6000</v>
      </c>
      <c r="H174" t="s">
        <v>33</v>
      </c>
      <c r="I174" t="s">
        <v>34</v>
      </c>
      <c r="J174" s="1">
        <v>87596.3</v>
      </c>
    </row>
    <row r="175" spans="1:10" x14ac:dyDescent="0.25">
      <c r="A175" t="str">
        <f t="shared" si="10"/>
        <v>07/20/20</v>
      </c>
      <c r="B175" t="s">
        <v>361</v>
      </c>
      <c r="C175" t="str">
        <f>"21219"</f>
        <v>21219</v>
      </c>
      <c r="D175" t="str">
        <f>"0113 "</f>
        <v xml:space="preserve">0113 </v>
      </c>
      <c r="E175" t="str">
        <f>"034 "</f>
        <v xml:space="preserve">034 </v>
      </c>
      <c r="F175" t="s">
        <v>362</v>
      </c>
      <c r="G175" s="1">
        <v>1000</v>
      </c>
      <c r="H175" t="s">
        <v>33</v>
      </c>
      <c r="I175" t="s">
        <v>15</v>
      </c>
      <c r="J175" s="1">
        <v>147477.32</v>
      </c>
    </row>
    <row r="176" spans="1:10" x14ac:dyDescent="0.25">
      <c r="A176" t="str">
        <f t="shared" si="10"/>
        <v>07/20/20</v>
      </c>
      <c r="B176" t="s">
        <v>363</v>
      </c>
      <c r="C176" t="str">
        <f t="shared" ref="C176:C182" si="14">"21217"</f>
        <v>21217</v>
      </c>
      <c r="D176" t="str">
        <f>"0113 "</f>
        <v xml:space="preserve">0113 </v>
      </c>
      <c r="E176" t="str">
        <f>"032 "</f>
        <v xml:space="preserve">032 </v>
      </c>
      <c r="F176" t="s">
        <v>364</v>
      </c>
      <c r="G176" s="1">
        <v>1000</v>
      </c>
      <c r="H176" t="s">
        <v>33</v>
      </c>
      <c r="I176" t="s">
        <v>15</v>
      </c>
      <c r="J176" s="1">
        <v>85467.42</v>
      </c>
    </row>
    <row r="177" spans="1:10" x14ac:dyDescent="0.25">
      <c r="A177" t="str">
        <f t="shared" si="10"/>
        <v>07/20/20</v>
      </c>
      <c r="B177" t="s">
        <v>365</v>
      </c>
      <c r="C177" t="str">
        <f t="shared" si="14"/>
        <v>21217</v>
      </c>
      <c r="D177" t="str">
        <f>"0113 "</f>
        <v xml:space="preserve">0113 </v>
      </c>
      <c r="E177" t="str">
        <f>"033 "</f>
        <v xml:space="preserve">033 </v>
      </c>
      <c r="F177" t="s">
        <v>366</v>
      </c>
      <c r="G177" s="1">
        <v>1000</v>
      </c>
      <c r="H177" t="s">
        <v>33</v>
      </c>
      <c r="I177" t="s">
        <v>15</v>
      </c>
      <c r="J177" s="1">
        <v>150447.31</v>
      </c>
    </row>
    <row r="178" spans="1:10" x14ac:dyDescent="0.25">
      <c r="A178" t="str">
        <f t="shared" si="10"/>
        <v>07/20/20</v>
      </c>
      <c r="B178" t="s">
        <v>367</v>
      </c>
      <c r="C178" t="str">
        <f t="shared" si="14"/>
        <v>21217</v>
      </c>
      <c r="D178" t="str">
        <f>"0112 "</f>
        <v xml:space="preserve">0112 </v>
      </c>
      <c r="E178" t="str">
        <f>"014 "</f>
        <v xml:space="preserve">014 </v>
      </c>
      <c r="F178" t="s">
        <v>368</v>
      </c>
      <c r="G178" s="1">
        <v>6000</v>
      </c>
      <c r="H178" t="s">
        <v>33</v>
      </c>
      <c r="I178" t="s">
        <v>15</v>
      </c>
      <c r="J178" s="1">
        <v>11850.81</v>
      </c>
    </row>
    <row r="179" spans="1:10" x14ac:dyDescent="0.25">
      <c r="A179" t="str">
        <f t="shared" si="10"/>
        <v>07/20/20</v>
      </c>
      <c r="B179" t="s">
        <v>369</v>
      </c>
      <c r="C179" t="str">
        <f t="shared" si="14"/>
        <v>21217</v>
      </c>
      <c r="D179" t="str">
        <f>"0293 "</f>
        <v xml:space="preserve">0293 </v>
      </c>
      <c r="E179" t="str">
        <f>"009 "</f>
        <v xml:space="preserve">009 </v>
      </c>
      <c r="F179" t="s">
        <v>370</v>
      </c>
      <c r="G179" s="1">
        <v>7000</v>
      </c>
      <c r="H179" t="s">
        <v>33</v>
      </c>
      <c r="I179" t="s">
        <v>34</v>
      </c>
      <c r="J179" s="1">
        <v>959.93</v>
      </c>
    </row>
    <row r="180" spans="1:10" x14ac:dyDescent="0.25">
      <c r="A180" t="str">
        <f t="shared" si="10"/>
        <v>07/20/20</v>
      </c>
      <c r="B180" t="s">
        <v>371</v>
      </c>
      <c r="C180" t="str">
        <f t="shared" si="14"/>
        <v>21217</v>
      </c>
      <c r="D180" t="str">
        <f>"0293 "</f>
        <v xml:space="preserve">0293 </v>
      </c>
      <c r="E180" t="str">
        <f>"010 "</f>
        <v xml:space="preserve">010 </v>
      </c>
      <c r="F180" t="s">
        <v>372</v>
      </c>
      <c r="G180" s="1">
        <v>7000</v>
      </c>
      <c r="H180" t="s">
        <v>33</v>
      </c>
      <c r="I180" t="s">
        <v>34</v>
      </c>
      <c r="J180" s="1">
        <v>3546.64</v>
      </c>
    </row>
    <row r="181" spans="1:10" x14ac:dyDescent="0.25">
      <c r="A181" t="str">
        <f t="shared" si="10"/>
        <v>07/20/20</v>
      </c>
      <c r="B181" t="s">
        <v>373</v>
      </c>
      <c r="C181" t="str">
        <f t="shared" si="14"/>
        <v>21217</v>
      </c>
      <c r="D181" t="str">
        <f>"0293 "</f>
        <v xml:space="preserve">0293 </v>
      </c>
      <c r="E181" t="str">
        <f>"007 "</f>
        <v xml:space="preserve">007 </v>
      </c>
      <c r="F181" t="s">
        <v>306</v>
      </c>
      <c r="G181" s="1">
        <v>7000</v>
      </c>
      <c r="H181" t="s">
        <v>33</v>
      </c>
      <c r="I181" t="s">
        <v>15</v>
      </c>
      <c r="J181" s="1">
        <v>12587.06</v>
      </c>
    </row>
    <row r="182" spans="1:10" x14ac:dyDescent="0.25">
      <c r="A182" t="str">
        <f t="shared" si="10"/>
        <v>07/20/20</v>
      </c>
      <c r="B182" t="s">
        <v>374</v>
      </c>
      <c r="C182" t="str">
        <f t="shared" si="14"/>
        <v>21217</v>
      </c>
      <c r="D182" t="str">
        <f>"0293 "</f>
        <v xml:space="preserve">0293 </v>
      </c>
      <c r="E182" t="str">
        <f>"006 "</f>
        <v xml:space="preserve">006 </v>
      </c>
      <c r="F182" t="s">
        <v>54</v>
      </c>
      <c r="G182" s="1">
        <v>7000</v>
      </c>
      <c r="H182" t="s">
        <v>33</v>
      </c>
      <c r="I182" t="s">
        <v>15</v>
      </c>
      <c r="J182" s="1">
        <v>3120.32</v>
      </c>
    </row>
    <row r="183" spans="1:10" x14ac:dyDescent="0.25">
      <c r="A183" t="str">
        <f t="shared" si="10"/>
        <v>07/20/20</v>
      </c>
      <c r="B183" t="s">
        <v>375</v>
      </c>
      <c r="C183" t="str">
        <f t="shared" ref="C183:C189" si="15">"21218"</f>
        <v>21218</v>
      </c>
      <c r="D183" t="str">
        <f>"4130 "</f>
        <v xml:space="preserve">4130 </v>
      </c>
      <c r="E183" t="str">
        <f>"014 "</f>
        <v xml:space="preserve">014 </v>
      </c>
      <c r="F183" t="s">
        <v>376</v>
      </c>
      <c r="G183" s="1">
        <v>1000</v>
      </c>
      <c r="H183" t="s">
        <v>14</v>
      </c>
      <c r="I183" t="s">
        <v>15</v>
      </c>
      <c r="J183" s="1">
        <v>14931.07</v>
      </c>
    </row>
    <row r="184" spans="1:10" x14ac:dyDescent="0.25">
      <c r="A184" t="str">
        <f t="shared" si="10"/>
        <v>07/20/20</v>
      </c>
      <c r="B184" t="s">
        <v>377</v>
      </c>
      <c r="C184" t="str">
        <f t="shared" si="15"/>
        <v>21218</v>
      </c>
      <c r="D184" t="str">
        <f>"4131 "</f>
        <v xml:space="preserve">4131 </v>
      </c>
      <c r="E184" t="str">
        <f>"032 "</f>
        <v xml:space="preserve">032 </v>
      </c>
      <c r="F184" t="s">
        <v>378</v>
      </c>
      <c r="G184" s="1">
        <v>1000</v>
      </c>
      <c r="H184" t="s">
        <v>14</v>
      </c>
      <c r="I184" t="s">
        <v>15</v>
      </c>
      <c r="J184" s="1">
        <v>141519.21</v>
      </c>
    </row>
    <row r="185" spans="1:10" x14ac:dyDescent="0.25">
      <c r="A185" t="str">
        <f t="shared" si="10"/>
        <v>07/20/20</v>
      </c>
      <c r="B185" t="s">
        <v>379</v>
      </c>
      <c r="C185" t="str">
        <f t="shared" si="15"/>
        <v>21218</v>
      </c>
      <c r="D185" t="str">
        <f>"4127 "</f>
        <v xml:space="preserve">4127 </v>
      </c>
      <c r="E185" t="str">
        <f>"052 "</f>
        <v xml:space="preserve">052 </v>
      </c>
      <c r="F185" t="s">
        <v>380</v>
      </c>
      <c r="G185" s="1">
        <v>1000</v>
      </c>
      <c r="H185" t="s">
        <v>14</v>
      </c>
      <c r="I185" t="s">
        <v>15</v>
      </c>
      <c r="J185" s="1">
        <v>102554.53</v>
      </c>
    </row>
    <row r="186" spans="1:10" x14ac:dyDescent="0.25">
      <c r="A186" t="str">
        <f t="shared" si="10"/>
        <v>07/20/20</v>
      </c>
      <c r="B186" t="s">
        <v>381</v>
      </c>
      <c r="C186" t="str">
        <f t="shared" si="15"/>
        <v>21218</v>
      </c>
      <c r="D186" t="str">
        <f>"4129 "</f>
        <v xml:space="preserve">4129 </v>
      </c>
      <c r="E186" t="str">
        <f>"038 "</f>
        <v xml:space="preserve">038 </v>
      </c>
      <c r="F186" t="s">
        <v>382</v>
      </c>
      <c r="G186" s="1">
        <v>1000</v>
      </c>
      <c r="H186" t="s">
        <v>14</v>
      </c>
      <c r="I186" t="s">
        <v>15</v>
      </c>
      <c r="J186" s="1">
        <v>96866.14</v>
      </c>
    </row>
    <row r="187" spans="1:10" x14ac:dyDescent="0.25">
      <c r="A187" t="str">
        <f t="shared" si="10"/>
        <v>07/20/20</v>
      </c>
      <c r="B187" t="s">
        <v>383</v>
      </c>
      <c r="C187" t="str">
        <f t="shared" si="15"/>
        <v>21218</v>
      </c>
      <c r="D187" t="str">
        <f>"4130 "</f>
        <v xml:space="preserve">4130 </v>
      </c>
      <c r="E187" t="str">
        <f>"012 "</f>
        <v xml:space="preserve">012 </v>
      </c>
      <c r="F187" t="s">
        <v>376</v>
      </c>
      <c r="G187" s="1">
        <v>1000</v>
      </c>
      <c r="H187" t="s">
        <v>14</v>
      </c>
      <c r="I187" t="s">
        <v>15</v>
      </c>
      <c r="J187" s="1">
        <v>59528.9</v>
      </c>
    </row>
    <row r="188" spans="1:10" x14ac:dyDescent="0.25">
      <c r="A188" t="str">
        <f t="shared" si="10"/>
        <v>07/20/20</v>
      </c>
      <c r="B188" t="s">
        <v>384</v>
      </c>
      <c r="C188" t="str">
        <f t="shared" si="15"/>
        <v>21218</v>
      </c>
      <c r="D188" t="str">
        <f>"4130 "</f>
        <v xml:space="preserve">4130 </v>
      </c>
      <c r="E188" t="str">
        <f>"010 "</f>
        <v xml:space="preserve">010 </v>
      </c>
      <c r="F188" t="s">
        <v>385</v>
      </c>
      <c r="G188" s="1">
        <v>1000</v>
      </c>
      <c r="H188" t="s">
        <v>14</v>
      </c>
      <c r="I188" t="s">
        <v>15</v>
      </c>
      <c r="J188" s="1">
        <v>80839.62</v>
      </c>
    </row>
    <row r="189" spans="1:10" x14ac:dyDescent="0.25">
      <c r="A189" t="str">
        <f t="shared" si="10"/>
        <v>07/20/20</v>
      </c>
      <c r="B189" t="s">
        <v>386</v>
      </c>
      <c r="C189" t="str">
        <f t="shared" si="15"/>
        <v>21218</v>
      </c>
      <c r="D189" t="str">
        <f>"4128 "</f>
        <v xml:space="preserve">4128 </v>
      </c>
      <c r="E189" t="str">
        <f>"001 "</f>
        <v xml:space="preserve">001 </v>
      </c>
      <c r="F189" t="s">
        <v>387</v>
      </c>
      <c r="G189" s="1">
        <v>1000</v>
      </c>
      <c r="H189" t="s">
        <v>14</v>
      </c>
      <c r="I189" t="s">
        <v>15</v>
      </c>
      <c r="J189" s="1">
        <v>10830.81</v>
      </c>
    </row>
    <row r="190" spans="1:10" x14ac:dyDescent="0.25">
      <c r="A190" t="str">
        <f t="shared" si="10"/>
        <v>07/20/20</v>
      </c>
      <c r="B190" t="s">
        <v>388</v>
      </c>
      <c r="C190" t="str">
        <f>"21230"</f>
        <v>21230</v>
      </c>
      <c r="D190" t="str">
        <f>"7836 "</f>
        <v xml:space="preserve">7836 </v>
      </c>
      <c r="E190" t="str">
        <f>"001 "</f>
        <v xml:space="preserve">001 </v>
      </c>
      <c r="F190" t="s">
        <v>389</v>
      </c>
      <c r="G190" s="1">
        <v>109700</v>
      </c>
      <c r="H190" t="s">
        <v>137</v>
      </c>
      <c r="I190" t="s">
        <v>15</v>
      </c>
      <c r="J190" s="1">
        <v>15663.35</v>
      </c>
    </row>
    <row r="191" spans="1:10" x14ac:dyDescent="0.25">
      <c r="A191" t="str">
        <f t="shared" si="10"/>
        <v>07/20/20</v>
      </c>
      <c r="B191" t="s">
        <v>390</v>
      </c>
      <c r="C191" t="str">
        <f>"21223"</f>
        <v>21223</v>
      </c>
      <c r="D191" t="str">
        <f>"2174A"</f>
        <v>2174A</v>
      </c>
      <c r="E191" t="str">
        <f>"077H"</f>
        <v>077H</v>
      </c>
      <c r="F191" t="s">
        <v>391</v>
      </c>
      <c r="G191" s="1">
        <v>16200</v>
      </c>
      <c r="H191" t="s">
        <v>33</v>
      </c>
      <c r="I191" t="s">
        <v>15</v>
      </c>
      <c r="J191" s="1">
        <v>9621.44</v>
      </c>
    </row>
    <row r="192" spans="1:10" x14ac:dyDescent="0.25">
      <c r="A192" t="str">
        <f t="shared" si="10"/>
        <v>07/20/20</v>
      </c>
      <c r="B192" t="s">
        <v>392</v>
      </c>
      <c r="C192" t="str">
        <f>"21223"</f>
        <v>21223</v>
      </c>
      <c r="D192" t="str">
        <f>"2176 "</f>
        <v xml:space="preserve">2176 </v>
      </c>
      <c r="E192" t="str">
        <f>"001 "</f>
        <v xml:space="preserve">001 </v>
      </c>
      <c r="F192" t="s">
        <v>393</v>
      </c>
      <c r="G192" s="1">
        <v>1000</v>
      </c>
      <c r="H192" t="s">
        <v>33</v>
      </c>
      <c r="I192" t="s">
        <v>15</v>
      </c>
      <c r="J192" s="1">
        <v>82295.17</v>
      </c>
    </row>
    <row r="193" spans="1:10" x14ac:dyDescent="0.25">
      <c r="A193" t="str">
        <f t="shared" si="10"/>
        <v>07/20/20</v>
      </c>
      <c r="B193" t="s">
        <v>394</v>
      </c>
      <c r="C193" t="str">
        <f>"21218"</f>
        <v>21218</v>
      </c>
      <c r="D193" t="str">
        <f>"3913A"</f>
        <v>3913A</v>
      </c>
      <c r="E193" t="str">
        <f>"019 "</f>
        <v xml:space="preserve">019 </v>
      </c>
      <c r="F193" t="s">
        <v>395</v>
      </c>
      <c r="G193" s="1">
        <v>97100</v>
      </c>
      <c r="H193" t="s">
        <v>30</v>
      </c>
      <c r="I193" t="s">
        <v>15</v>
      </c>
      <c r="J193" s="1">
        <v>21040.22</v>
      </c>
    </row>
    <row r="194" spans="1:10" x14ac:dyDescent="0.25">
      <c r="A194" t="str">
        <f t="shared" si="10"/>
        <v>07/20/20</v>
      </c>
      <c r="B194" t="s">
        <v>396</v>
      </c>
      <c r="C194" t="str">
        <f>"21218"</f>
        <v>21218</v>
      </c>
      <c r="D194" t="str">
        <f>"4003 "</f>
        <v xml:space="preserve">4003 </v>
      </c>
      <c r="E194" t="str">
        <f>"025 "</f>
        <v xml:space="preserve">025 </v>
      </c>
      <c r="F194" t="s">
        <v>397</v>
      </c>
      <c r="G194" s="1">
        <v>17000</v>
      </c>
      <c r="H194" t="s">
        <v>33</v>
      </c>
      <c r="I194" t="s">
        <v>15</v>
      </c>
      <c r="J194" s="1">
        <v>1593.47</v>
      </c>
    </row>
    <row r="195" spans="1:10" x14ac:dyDescent="0.25">
      <c r="A195" t="str">
        <f t="shared" ref="A195:A258" si="16">"07/20/20"</f>
        <v>07/20/20</v>
      </c>
      <c r="B195" t="s">
        <v>398</v>
      </c>
      <c r="C195" t="str">
        <f>"21218"</f>
        <v>21218</v>
      </c>
      <c r="D195" t="str">
        <f>"4004 "</f>
        <v xml:space="preserve">4004 </v>
      </c>
      <c r="E195" t="str">
        <f>"034 "</f>
        <v xml:space="preserve">034 </v>
      </c>
      <c r="F195" t="s">
        <v>399</v>
      </c>
      <c r="G195" s="1">
        <v>17000</v>
      </c>
      <c r="H195" t="s">
        <v>33</v>
      </c>
      <c r="I195" t="s">
        <v>15</v>
      </c>
      <c r="J195" s="1">
        <v>28940.91</v>
      </c>
    </row>
    <row r="196" spans="1:10" x14ac:dyDescent="0.25">
      <c r="A196" t="str">
        <f t="shared" si="16"/>
        <v>07/20/20</v>
      </c>
      <c r="B196" t="s">
        <v>400</v>
      </c>
      <c r="C196" t="str">
        <f>"21218"</f>
        <v>21218</v>
      </c>
      <c r="D196" t="str">
        <f>"4012A"</f>
        <v>4012A</v>
      </c>
      <c r="E196" t="str">
        <f>"011 "</f>
        <v xml:space="preserve">011 </v>
      </c>
      <c r="F196" t="s">
        <v>401</v>
      </c>
      <c r="G196" s="1">
        <v>38000</v>
      </c>
      <c r="H196" t="s">
        <v>33</v>
      </c>
      <c r="I196" t="s">
        <v>15</v>
      </c>
      <c r="J196" s="1">
        <v>31446.26</v>
      </c>
    </row>
    <row r="197" spans="1:10" x14ac:dyDescent="0.25">
      <c r="A197" t="str">
        <f t="shared" si="16"/>
        <v>07/20/20</v>
      </c>
      <c r="B197" t="s">
        <v>402</v>
      </c>
      <c r="C197" t="str">
        <f>"21206"</f>
        <v>21206</v>
      </c>
      <c r="D197" t="str">
        <f>"6042N"</f>
        <v>6042N</v>
      </c>
      <c r="E197" t="str">
        <f>"057A"</f>
        <v>057A</v>
      </c>
      <c r="F197" t="s">
        <v>403</v>
      </c>
      <c r="G197" s="1">
        <v>12000</v>
      </c>
      <c r="H197" t="s">
        <v>137</v>
      </c>
      <c r="I197" t="s">
        <v>15</v>
      </c>
      <c r="J197" s="1">
        <v>10165.56</v>
      </c>
    </row>
    <row r="198" spans="1:10" x14ac:dyDescent="0.25">
      <c r="A198" t="str">
        <f t="shared" si="16"/>
        <v>07/20/20</v>
      </c>
      <c r="B198" t="s">
        <v>404</v>
      </c>
      <c r="C198" t="str">
        <f>"21230"</f>
        <v>21230</v>
      </c>
      <c r="D198" t="str">
        <f>"7441 "</f>
        <v xml:space="preserve">7441 </v>
      </c>
      <c r="E198" t="str">
        <f>"028 "</f>
        <v xml:space="preserve">028 </v>
      </c>
      <c r="F198" t="s">
        <v>405</v>
      </c>
      <c r="G198" s="1">
        <v>25000</v>
      </c>
      <c r="H198" t="s">
        <v>30</v>
      </c>
      <c r="I198" t="s">
        <v>15</v>
      </c>
      <c r="J198" s="1">
        <v>6200.02</v>
      </c>
    </row>
    <row r="199" spans="1:10" x14ac:dyDescent="0.25">
      <c r="A199" t="str">
        <f t="shared" si="16"/>
        <v>07/20/20</v>
      </c>
      <c r="B199" t="s">
        <v>406</v>
      </c>
      <c r="C199" t="str">
        <f>"21202"</f>
        <v>21202</v>
      </c>
      <c r="D199" t="str">
        <f>"1135 "</f>
        <v xml:space="preserve">1135 </v>
      </c>
      <c r="E199" t="str">
        <f>"022 "</f>
        <v xml:space="preserve">022 </v>
      </c>
      <c r="F199" t="s">
        <v>407</v>
      </c>
      <c r="G199" s="1">
        <v>17500</v>
      </c>
      <c r="H199" t="s">
        <v>33</v>
      </c>
      <c r="I199" t="s">
        <v>15</v>
      </c>
      <c r="J199" s="1">
        <v>60834.83</v>
      </c>
    </row>
    <row r="200" spans="1:10" x14ac:dyDescent="0.25">
      <c r="A200" t="str">
        <f t="shared" si="16"/>
        <v>07/20/20</v>
      </c>
      <c r="B200" t="s">
        <v>408</v>
      </c>
      <c r="C200" t="str">
        <f>"21202"</f>
        <v>21202</v>
      </c>
      <c r="D200" t="str">
        <f>"1161 "</f>
        <v xml:space="preserve">1161 </v>
      </c>
      <c r="E200" t="str">
        <f>"016 "</f>
        <v xml:space="preserve">016 </v>
      </c>
      <c r="F200" t="s">
        <v>409</v>
      </c>
      <c r="G200" s="1">
        <v>1000</v>
      </c>
      <c r="H200" t="s">
        <v>33</v>
      </c>
      <c r="I200" t="s">
        <v>15</v>
      </c>
      <c r="J200" s="1">
        <v>132134.85</v>
      </c>
    </row>
    <row r="201" spans="1:10" x14ac:dyDescent="0.25">
      <c r="A201" t="str">
        <f t="shared" si="16"/>
        <v>07/20/20</v>
      </c>
      <c r="B201" t="s">
        <v>410</v>
      </c>
      <c r="C201" t="str">
        <f>"21202"</f>
        <v>21202</v>
      </c>
      <c r="D201" t="str">
        <f>"1161 "</f>
        <v xml:space="preserve">1161 </v>
      </c>
      <c r="E201" t="str">
        <f>"015 "</f>
        <v xml:space="preserve">015 </v>
      </c>
      <c r="F201" t="s">
        <v>409</v>
      </c>
      <c r="G201" s="1">
        <v>1000</v>
      </c>
      <c r="H201" t="s">
        <v>33</v>
      </c>
      <c r="I201" t="s">
        <v>15</v>
      </c>
      <c r="J201" s="1">
        <v>106074.67</v>
      </c>
    </row>
    <row r="202" spans="1:10" x14ac:dyDescent="0.25">
      <c r="A202" t="str">
        <f t="shared" si="16"/>
        <v>07/20/20</v>
      </c>
      <c r="B202" t="s">
        <v>411</v>
      </c>
      <c r="C202" t="str">
        <f>"21224"</f>
        <v>21224</v>
      </c>
      <c r="D202" t="str">
        <f>"6287 "</f>
        <v xml:space="preserve">6287 </v>
      </c>
      <c r="E202" t="str">
        <f>"078A"</f>
        <v>078A</v>
      </c>
      <c r="F202" t="s">
        <v>412</v>
      </c>
      <c r="G202" s="1">
        <v>69200</v>
      </c>
      <c r="H202" t="s">
        <v>33</v>
      </c>
      <c r="I202" t="s">
        <v>15</v>
      </c>
      <c r="J202" s="1">
        <v>97451.93</v>
      </c>
    </row>
    <row r="203" spans="1:10" x14ac:dyDescent="0.25">
      <c r="A203" t="str">
        <f t="shared" si="16"/>
        <v>07/20/20</v>
      </c>
      <c r="B203" t="s">
        <v>413</v>
      </c>
      <c r="C203" t="str">
        <f>"21215"</f>
        <v>21215</v>
      </c>
      <c r="D203" t="str">
        <f>"4614 "</f>
        <v xml:space="preserve">4614 </v>
      </c>
      <c r="E203" t="str">
        <f>"028 "</f>
        <v xml:space="preserve">028 </v>
      </c>
      <c r="F203" t="s">
        <v>414</v>
      </c>
      <c r="G203" s="1">
        <v>40000</v>
      </c>
      <c r="H203" t="s">
        <v>14</v>
      </c>
      <c r="I203" t="s">
        <v>15</v>
      </c>
      <c r="J203" s="1">
        <v>53692.9</v>
      </c>
    </row>
    <row r="204" spans="1:10" x14ac:dyDescent="0.25">
      <c r="A204" t="str">
        <f t="shared" si="16"/>
        <v>07/20/20</v>
      </c>
      <c r="B204" t="s">
        <v>415</v>
      </c>
      <c r="C204" t="str">
        <f t="shared" ref="C204:C210" si="17">"21213"</f>
        <v>21213</v>
      </c>
      <c r="D204" t="str">
        <f>"1479 "</f>
        <v xml:space="preserve">1479 </v>
      </c>
      <c r="E204" t="str">
        <f>"087 "</f>
        <v xml:space="preserve">087 </v>
      </c>
      <c r="F204" t="s">
        <v>416</v>
      </c>
      <c r="G204" s="1">
        <v>1000</v>
      </c>
      <c r="H204" t="s">
        <v>33</v>
      </c>
      <c r="I204" t="s">
        <v>15</v>
      </c>
      <c r="J204" s="1">
        <v>105108</v>
      </c>
    </row>
    <row r="205" spans="1:10" x14ac:dyDescent="0.25">
      <c r="A205" t="str">
        <f t="shared" si="16"/>
        <v>07/20/20</v>
      </c>
      <c r="B205" t="s">
        <v>417</v>
      </c>
      <c r="C205" t="str">
        <f t="shared" si="17"/>
        <v>21213</v>
      </c>
      <c r="D205" t="str">
        <f>"1448 "</f>
        <v xml:space="preserve">1448 </v>
      </c>
      <c r="E205" t="str">
        <f>"102 "</f>
        <v xml:space="preserve">102 </v>
      </c>
      <c r="F205" t="s">
        <v>418</v>
      </c>
      <c r="G205" s="1">
        <v>19000</v>
      </c>
      <c r="H205" t="s">
        <v>33</v>
      </c>
      <c r="I205" t="s">
        <v>15</v>
      </c>
      <c r="J205" s="1">
        <v>10479.56</v>
      </c>
    </row>
    <row r="206" spans="1:10" x14ac:dyDescent="0.25">
      <c r="A206" t="str">
        <f t="shared" si="16"/>
        <v>07/20/20</v>
      </c>
      <c r="B206" t="s">
        <v>419</v>
      </c>
      <c r="C206" t="str">
        <f t="shared" si="17"/>
        <v>21213</v>
      </c>
      <c r="D206" t="str">
        <f>"1448 "</f>
        <v xml:space="preserve">1448 </v>
      </c>
      <c r="E206" t="str">
        <f>"092 "</f>
        <v xml:space="preserve">092 </v>
      </c>
      <c r="F206" t="s">
        <v>420</v>
      </c>
      <c r="G206" s="1">
        <v>19000</v>
      </c>
      <c r="H206" t="s">
        <v>33</v>
      </c>
      <c r="I206" t="s">
        <v>15</v>
      </c>
      <c r="J206" s="1">
        <v>5257.04</v>
      </c>
    </row>
    <row r="207" spans="1:10" x14ac:dyDescent="0.25">
      <c r="A207" t="str">
        <f t="shared" si="16"/>
        <v>07/20/20</v>
      </c>
      <c r="B207" t="s">
        <v>421</v>
      </c>
      <c r="C207" t="str">
        <f t="shared" si="17"/>
        <v>21213</v>
      </c>
      <c r="D207" t="str">
        <f>"1458 "</f>
        <v xml:space="preserve">1458 </v>
      </c>
      <c r="E207" t="str">
        <f>"073 "</f>
        <v xml:space="preserve">073 </v>
      </c>
      <c r="F207" t="s">
        <v>422</v>
      </c>
      <c r="G207" s="1">
        <v>6000</v>
      </c>
      <c r="H207" t="s">
        <v>33</v>
      </c>
      <c r="I207" t="s">
        <v>15</v>
      </c>
      <c r="J207" s="1">
        <v>61196.11</v>
      </c>
    </row>
    <row r="208" spans="1:10" x14ac:dyDescent="0.25">
      <c r="A208" t="str">
        <f t="shared" si="16"/>
        <v>07/20/20</v>
      </c>
      <c r="B208" t="s">
        <v>423</v>
      </c>
      <c r="C208" t="str">
        <f t="shared" si="17"/>
        <v>21213</v>
      </c>
      <c r="D208" t="str">
        <f>"1576 "</f>
        <v xml:space="preserve">1576 </v>
      </c>
      <c r="E208" t="str">
        <f>"003D"</f>
        <v>003D</v>
      </c>
      <c r="F208" t="s">
        <v>424</v>
      </c>
      <c r="G208" s="1">
        <v>1000</v>
      </c>
      <c r="H208" t="s">
        <v>30</v>
      </c>
      <c r="I208" t="s">
        <v>15</v>
      </c>
      <c r="J208" s="1">
        <v>55042.92</v>
      </c>
    </row>
    <row r="209" spans="1:10" x14ac:dyDescent="0.25">
      <c r="A209" t="str">
        <f t="shared" si="16"/>
        <v>07/20/20</v>
      </c>
      <c r="B209" t="s">
        <v>425</v>
      </c>
      <c r="C209" t="str">
        <f t="shared" si="17"/>
        <v>21213</v>
      </c>
      <c r="D209" t="str">
        <f>"1575 "</f>
        <v xml:space="preserve">1575 </v>
      </c>
      <c r="E209" t="str">
        <f>"020 "</f>
        <v xml:space="preserve">020 </v>
      </c>
      <c r="F209" t="s">
        <v>426</v>
      </c>
      <c r="G209" s="1">
        <v>19000</v>
      </c>
      <c r="H209" t="s">
        <v>30</v>
      </c>
      <c r="I209" t="s">
        <v>15</v>
      </c>
      <c r="J209" s="1">
        <v>22462.07</v>
      </c>
    </row>
    <row r="210" spans="1:10" x14ac:dyDescent="0.25">
      <c r="A210" t="str">
        <f t="shared" si="16"/>
        <v>07/20/20</v>
      </c>
      <c r="B210" t="s">
        <v>427</v>
      </c>
      <c r="C210" t="str">
        <f t="shared" si="17"/>
        <v>21213</v>
      </c>
      <c r="D210" t="str">
        <f>"1191 "</f>
        <v xml:space="preserve">1191 </v>
      </c>
      <c r="E210" t="str">
        <f>"031 "</f>
        <v xml:space="preserve">031 </v>
      </c>
      <c r="F210" t="s">
        <v>428</v>
      </c>
      <c r="G210" s="1">
        <v>7000</v>
      </c>
      <c r="H210" t="s">
        <v>33</v>
      </c>
      <c r="I210" t="s">
        <v>15</v>
      </c>
      <c r="J210" s="1">
        <v>49404.84</v>
      </c>
    </row>
    <row r="211" spans="1:10" x14ac:dyDescent="0.25">
      <c r="A211" t="str">
        <f t="shared" si="16"/>
        <v>07/20/20</v>
      </c>
      <c r="B211" t="s">
        <v>429</v>
      </c>
      <c r="C211" t="str">
        <f>"21216"</f>
        <v>21216</v>
      </c>
      <c r="D211" t="str">
        <f>"2880 "</f>
        <v xml:space="preserve">2880 </v>
      </c>
      <c r="E211" t="str">
        <f>"019 "</f>
        <v xml:space="preserve">019 </v>
      </c>
      <c r="F211" t="s">
        <v>430</v>
      </c>
      <c r="G211" s="1">
        <v>60200</v>
      </c>
      <c r="H211" t="s">
        <v>137</v>
      </c>
      <c r="I211" t="s">
        <v>15</v>
      </c>
      <c r="J211" s="1">
        <v>60913.03</v>
      </c>
    </row>
    <row r="212" spans="1:10" x14ac:dyDescent="0.25">
      <c r="A212" t="str">
        <f t="shared" si="16"/>
        <v>07/20/20</v>
      </c>
      <c r="B212" t="s">
        <v>431</v>
      </c>
      <c r="C212" t="str">
        <f>"21216"</f>
        <v>21216</v>
      </c>
      <c r="D212" t="str">
        <f>"2834 "</f>
        <v xml:space="preserve">2834 </v>
      </c>
      <c r="E212" t="str">
        <f>"008 "</f>
        <v xml:space="preserve">008 </v>
      </c>
      <c r="F212" t="s">
        <v>432</v>
      </c>
      <c r="G212" s="1">
        <v>217300</v>
      </c>
      <c r="H212" t="s">
        <v>137</v>
      </c>
      <c r="I212" t="s">
        <v>15</v>
      </c>
      <c r="J212" s="1">
        <v>103975.39</v>
      </c>
    </row>
    <row r="213" spans="1:10" x14ac:dyDescent="0.25">
      <c r="A213" t="str">
        <f t="shared" si="16"/>
        <v>07/20/20</v>
      </c>
      <c r="B213" t="s">
        <v>433</v>
      </c>
      <c r="C213" t="str">
        <f>"21225"</f>
        <v>21225</v>
      </c>
      <c r="D213" t="str">
        <f>"7645 "</f>
        <v xml:space="preserve">7645 </v>
      </c>
      <c r="E213" t="str">
        <f>"001 "</f>
        <v xml:space="preserve">001 </v>
      </c>
      <c r="F213" t="s">
        <v>434</v>
      </c>
      <c r="G213" s="1">
        <v>36000</v>
      </c>
      <c r="H213" t="s">
        <v>14</v>
      </c>
      <c r="I213" t="s">
        <v>15</v>
      </c>
      <c r="J213" s="1">
        <v>18000.330000000002</v>
      </c>
    </row>
    <row r="214" spans="1:10" x14ac:dyDescent="0.25">
      <c r="A214" t="str">
        <f t="shared" si="16"/>
        <v>07/20/20</v>
      </c>
      <c r="B214" t="s">
        <v>435</v>
      </c>
      <c r="C214" t="str">
        <f>"21225"</f>
        <v>21225</v>
      </c>
      <c r="D214" t="str">
        <f>"7614 "</f>
        <v xml:space="preserve">7614 </v>
      </c>
      <c r="E214" t="str">
        <f>"009 "</f>
        <v xml:space="preserve">009 </v>
      </c>
      <c r="F214" t="s">
        <v>436</v>
      </c>
      <c r="G214" s="1">
        <v>36000</v>
      </c>
      <c r="H214" t="s">
        <v>14</v>
      </c>
      <c r="I214" t="s">
        <v>34</v>
      </c>
      <c r="J214" s="1">
        <v>15187.79</v>
      </c>
    </row>
    <row r="215" spans="1:10" x14ac:dyDescent="0.25">
      <c r="A215" t="str">
        <f t="shared" si="16"/>
        <v>07/20/20</v>
      </c>
      <c r="B215" t="s">
        <v>437</v>
      </c>
      <c r="C215" t="str">
        <f>"21213"</f>
        <v>21213</v>
      </c>
      <c r="D215" t="str">
        <f>"1459 "</f>
        <v xml:space="preserve">1459 </v>
      </c>
      <c r="E215" t="str">
        <f>"035 "</f>
        <v xml:space="preserve">035 </v>
      </c>
      <c r="F215" t="s">
        <v>438</v>
      </c>
      <c r="G215" s="1">
        <v>6000</v>
      </c>
      <c r="H215" t="s">
        <v>33</v>
      </c>
      <c r="I215" t="s">
        <v>15</v>
      </c>
      <c r="J215" s="1">
        <v>142500.06</v>
      </c>
    </row>
    <row r="216" spans="1:10" x14ac:dyDescent="0.25">
      <c r="A216" t="str">
        <f t="shared" si="16"/>
        <v>07/20/20</v>
      </c>
      <c r="B216" t="s">
        <v>439</v>
      </c>
      <c r="C216" t="str">
        <f>"21213"</f>
        <v>21213</v>
      </c>
      <c r="D216" t="str">
        <f>"1500 "</f>
        <v xml:space="preserve">1500 </v>
      </c>
      <c r="E216" t="str">
        <f>"029 "</f>
        <v xml:space="preserve">029 </v>
      </c>
      <c r="F216" t="s">
        <v>440</v>
      </c>
      <c r="G216" s="1">
        <v>1000</v>
      </c>
      <c r="H216" t="s">
        <v>33</v>
      </c>
      <c r="I216" t="s">
        <v>15</v>
      </c>
      <c r="J216" s="1">
        <v>52072.639999999999</v>
      </c>
    </row>
    <row r="217" spans="1:10" x14ac:dyDescent="0.25">
      <c r="A217" t="str">
        <f t="shared" si="16"/>
        <v>07/20/20</v>
      </c>
      <c r="B217" t="s">
        <v>441</v>
      </c>
      <c r="C217" t="str">
        <f t="shared" ref="C217:C232" si="18">"21223"</f>
        <v>21223</v>
      </c>
      <c r="D217" t="str">
        <f>"2109 "</f>
        <v xml:space="preserve">2109 </v>
      </c>
      <c r="E217" t="str">
        <f>"066A"</f>
        <v>066A</v>
      </c>
      <c r="F217" t="s">
        <v>442</v>
      </c>
      <c r="G217" s="1">
        <v>5000</v>
      </c>
      <c r="H217" t="s">
        <v>33</v>
      </c>
      <c r="I217" t="s">
        <v>34</v>
      </c>
      <c r="J217" s="1">
        <v>56132.12</v>
      </c>
    </row>
    <row r="218" spans="1:10" x14ac:dyDescent="0.25">
      <c r="A218" t="str">
        <f t="shared" si="16"/>
        <v>07/20/20</v>
      </c>
      <c r="B218" t="s">
        <v>443</v>
      </c>
      <c r="C218" t="str">
        <f t="shared" si="18"/>
        <v>21223</v>
      </c>
      <c r="D218" t="str">
        <f>"0696 "</f>
        <v xml:space="preserve">0696 </v>
      </c>
      <c r="E218" t="str">
        <f>"104 "</f>
        <v xml:space="preserve">104 </v>
      </c>
      <c r="F218" t="s">
        <v>444</v>
      </c>
      <c r="G218" s="1">
        <v>6000</v>
      </c>
      <c r="H218" t="s">
        <v>33</v>
      </c>
      <c r="I218" t="s">
        <v>34</v>
      </c>
      <c r="J218" s="1">
        <v>34437.57</v>
      </c>
    </row>
    <row r="219" spans="1:10" x14ac:dyDescent="0.25">
      <c r="A219" t="str">
        <f t="shared" si="16"/>
        <v>07/20/20</v>
      </c>
      <c r="B219" t="s">
        <v>445</v>
      </c>
      <c r="C219" t="str">
        <f t="shared" si="18"/>
        <v>21223</v>
      </c>
      <c r="D219" t="str">
        <f>"0698 "</f>
        <v xml:space="preserve">0698 </v>
      </c>
      <c r="E219" t="str">
        <f>"104 "</f>
        <v xml:space="preserve">104 </v>
      </c>
      <c r="F219" t="s">
        <v>446</v>
      </c>
      <c r="G219" s="1">
        <v>1000</v>
      </c>
      <c r="H219" t="s">
        <v>33</v>
      </c>
      <c r="I219" t="s">
        <v>15</v>
      </c>
      <c r="J219" s="1">
        <v>155422.10999999999</v>
      </c>
    </row>
    <row r="220" spans="1:10" x14ac:dyDescent="0.25">
      <c r="A220" t="str">
        <f t="shared" si="16"/>
        <v>07/20/20</v>
      </c>
      <c r="B220" t="s">
        <v>447</v>
      </c>
      <c r="C220" t="str">
        <f t="shared" si="18"/>
        <v>21223</v>
      </c>
      <c r="D220" t="str">
        <f>"0698 "</f>
        <v xml:space="preserve">0698 </v>
      </c>
      <c r="E220" t="str">
        <f>"101 "</f>
        <v xml:space="preserve">101 </v>
      </c>
      <c r="F220" t="s">
        <v>448</v>
      </c>
      <c r="G220" s="1">
        <v>6000</v>
      </c>
      <c r="H220" t="s">
        <v>33</v>
      </c>
      <c r="I220" t="s">
        <v>34</v>
      </c>
      <c r="J220" s="1">
        <v>11919.54</v>
      </c>
    </row>
    <row r="221" spans="1:10" x14ac:dyDescent="0.25">
      <c r="A221" t="str">
        <f t="shared" si="16"/>
        <v>07/20/20</v>
      </c>
      <c r="B221" t="s">
        <v>449</v>
      </c>
      <c r="C221" t="str">
        <f t="shared" si="18"/>
        <v>21223</v>
      </c>
      <c r="D221" t="str">
        <f>"0698 "</f>
        <v xml:space="preserve">0698 </v>
      </c>
      <c r="E221" t="str">
        <f>"094 "</f>
        <v xml:space="preserve">094 </v>
      </c>
      <c r="F221" t="s">
        <v>450</v>
      </c>
      <c r="G221" s="1">
        <v>1000</v>
      </c>
      <c r="H221" t="s">
        <v>33</v>
      </c>
      <c r="I221" t="s">
        <v>15</v>
      </c>
      <c r="J221" s="1">
        <v>68230.62</v>
      </c>
    </row>
    <row r="222" spans="1:10" x14ac:dyDescent="0.25">
      <c r="A222" t="str">
        <f t="shared" si="16"/>
        <v>07/20/20</v>
      </c>
      <c r="B222" t="s">
        <v>451</v>
      </c>
      <c r="C222" t="str">
        <f t="shared" si="18"/>
        <v>21223</v>
      </c>
      <c r="D222" t="str">
        <f>"0697 "</f>
        <v xml:space="preserve">0697 </v>
      </c>
      <c r="E222" t="str">
        <f>"050 "</f>
        <v xml:space="preserve">050 </v>
      </c>
      <c r="F222" t="s">
        <v>452</v>
      </c>
      <c r="G222" s="1">
        <v>6000</v>
      </c>
      <c r="H222" t="s">
        <v>33</v>
      </c>
      <c r="I222" t="s">
        <v>34</v>
      </c>
      <c r="J222" s="1">
        <v>11150.64</v>
      </c>
    </row>
    <row r="223" spans="1:10" x14ac:dyDescent="0.25">
      <c r="A223" t="str">
        <f t="shared" si="16"/>
        <v>07/20/20</v>
      </c>
      <c r="B223" t="s">
        <v>453</v>
      </c>
      <c r="C223" t="str">
        <f t="shared" si="18"/>
        <v>21223</v>
      </c>
      <c r="D223" t="str">
        <f>"0698 "</f>
        <v xml:space="preserve">0698 </v>
      </c>
      <c r="E223" t="str">
        <f>"082 "</f>
        <v xml:space="preserve">082 </v>
      </c>
      <c r="F223" t="s">
        <v>454</v>
      </c>
      <c r="G223" s="1">
        <v>1000</v>
      </c>
      <c r="H223" t="s">
        <v>33</v>
      </c>
      <c r="I223" t="s">
        <v>15</v>
      </c>
      <c r="J223" s="1">
        <v>109259.37</v>
      </c>
    </row>
    <row r="224" spans="1:10" x14ac:dyDescent="0.25">
      <c r="A224" t="str">
        <f t="shared" si="16"/>
        <v>07/20/20</v>
      </c>
      <c r="B224" t="s">
        <v>455</v>
      </c>
      <c r="C224" t="str">
        <f t="shared" si="18"/>
        <v>21223</v>
      </c>
      <c r="D224" t="str">
        <f>"0697 "</f>
        <v xml:space="preserve">0697 </v>
      </c>
      <c r="E224" t="str">
        <f>"049 "</f>
        <v xml:space="preserve">049 </v>
      </c>
      <c r="F224" t="s">
        <v>456</v>
      </c>
      <c r="G224" s="1">
        <v>6000</v>
      </c>
      <c r="H224" t="s">
        <v>33</v>
      </c>
      <c r="I224" t="s">
        <v>34</v>
      </c>
      <c r="J224" s="1">
        <v>21898.78</v>
      </c>
    </row>
    <row r="225" spans="1:10" x14ac:dyDescent="0.25">
      <c r="A225" t="str">
        <f t="shared" si="16"/>
        <v>07/20/20</v>
      </c>
      <c r="B225" t="s">
        <v>457</v>
      </c>
      <c r="C225" t="str">
        <f t="shared" si="18"/>
        <v>21223</v>
      </c>
      <c r="D225" t="str">
        <f>"0696 "</f>
        <v xml:space="preserve">0696 </v>
      </c>
      <c r="E225" t="str">
        <f>"080 "</f>
        <v xml:space="preserve">080 </v>
      </c>
      <c r="F225" t="s">
        <v>458</v>
      </c>
      <c r="G225" s="1">
        <v>15000</v>
      </c>
      <c r="H225" t="s">
        <v>33</v>
      </c>
      <c r="I225" t="s">
        <v>34</v>
      </c>
      <c r="J225" s="1">
        <v>3530.75</v>
      </c>
    </row>
    <row r="226" spans="1:10" x14ac:dyDescent="0.25">
      <c r="A226" t="str">
        <f t="shared" si="16"/>
        <v>07/20/20</v>
      </c>
      <c r="B226" t="s">
        <v>459</v>
      </c>
      <c r="C226" t="str">
        <f t="shared" si="18"/>
        <v>21223</v>
      </c>
      <c r="D226" t="str">
        <f>"0698 "</f>
        <v xml:space="preserve">0698 </v>
      </c>
      <c r="E226" t="str">
        <f>"081 "</f>
        <v xml:space="preserve">081 </v>
      </c>
      <c r="F226" t="s">
        <v>460</v>
      </c>
      <c r="G226" s="1">
        <v>1000</v>
      </c>
      <c r="H226" t="s">
        <v>33</v>
      </c>
      <c r="I226" t="s">
        <v>15</v>
      </c>
      <c r="J226" s="1">
        <v>152986.60999999999</v>
      </c>
    </row>
    <row r="227" spans="1:10" x14ac:dyDescent="0.25">
      <c r="A227" t="str">
        <f t="shared" si="16"/>
        <v>07/20/20</v>
      </c>
      <c r="B227" t="s">
        <v>461</v>
      </c>
      <c r="C227" t="str">
        <f t="shared" si="18"/>
        <v>21223</v>
      </c>
      <c r="D227" t="str">
        <f>"0699 "</f>
        <v xml:space="preserve">0699 </v>
      </c>
      <c r="E227" t="str">
        <f>"069 "</f>
        <v xml:space="preserve">069 </v>
      </c>
      <c r="F227" t="s">
        <v>462</v>
      </c>
      <c r="G227" s="1">
        <v>6000</v>
      </c>
      <c r="H227" t="s">
        <v>33</v>
      </c>
      <c r="I227" t="s">
        <v>34</v>
      </c>
      <c r="J227" s="1">
        <v>3827.11</v>
      </c>
    </row>
    <row r="228" spans="1:10" x14ac:dyDescent="0.25">
      <c r="A228" t="str">
        <f t="shared" si="16"/>
        <v>07/20/20</v>
      </c>
      <c r="B228" t="s">
        <v>463</v>
      </c>
      <c r="C228" t="str">
        <f t="shared" si="18"/>
        <v>21223</v>
      </c>
      <c r="D228" t="str">
        <f>"0696 "</f>
        <v xml:space="preserve">0696 </v>
      </c>
      <c r="E228" t="str">
        <f>"100 "</f>
        <v xml:space="preserve">100 </v>
      </c>
      <c r="F228" t="s">
        <v>464</v>
      </c>
      <c r="G228" s="1">
        <v>6000</v>
      </c>
      <c r="H228" t="s">
        <v>33</v>
      </c>
      <c r="I228" t="s">
        <v>34</v>
      </c>
      <c r="J228" s="1">
        <v>11624.01</v>
      </c>
    </row>
    <row r="229" spans="1:10" x14ac:dyDescent="0.25">
      <c r="A229" t="str">
        <f t="shared" si="16"/>
        <v>07/20/20</v>
      </c>
      <c r="B229" t="s">
        <v>465</v>
      </c>
      <c r="C229" t="str">
        <f t="shared" si="18"/>
        <v>21223</v>
      </c>
      <c r="D229" t="str">
        <f>"0699 "</f>
        <v xml:space="preserve">0699 </v>
      </c>
      <c r="E229" t="str">
        <f>"075 "</f>
        <v xml:space="preserve">075 </v>
      </c>
      <c r="F229" t="s">
        <v>209</v>
      </c>
      <c r="G229" s="1">
        <v>6000</v>
      </c>
      <c r="H229" t="s">
        <v>33</v>
      </c>
      <c r="I229" t="s">
        <v>34</v>
      </c>
      <c r="J229" s="1">
        <v>11236.59</v>
      </c>
    </row>
    <row r="230" spans="1:10" x14ac:dyDescent="0.25">
      <c r="A230" t="str">
        <f t="shared" si="16"/>
        <v>07/20/20</v>
      </c>
      <c r="B230" t="s">
        <v>466</v>
      </c>
      <c r="C230" t="str">
        <f t="shared" si="18"/>
        <v>21223</v>
      </c>
      <c r="D230" t="str">
        <f>"0696 "</f>
        <v xml:space="preserve">0696 </v>
      </c>
      <c r="E230" t="str">
        <f>"108 "</f>
        <v xml:space="preserve">108 </v>
      </c>
      <c r="F230" t="s">
        <v>467</v>
      </c>
      <c r="G230" s="1">
        <v>6000</v>
      </c>
      <c r="H230" t="s">
        <v>33</v>
      </c>
      <c r="I230" t="s">
        <v>34</v>
      </c>
      <c r="J230" s="1">
        <v>725.99</v>
      </c>
    </row>
    <row r="231" spans="1:10" x14ac:dyDescent="0.25">
      <c r="A231" t="str">
        <f t="shared" si="16"/>
        <v>07/20/20</v>
      </c>
      <c r="B231" t="s">
        <v>468</v>
      </c>
      <c r="C231" t="str">
        <f t="shared" si="18"/>
        <v>21223</v>
      </c>
      <c r="D231" t="str">
        <f>"0696 "</f>
        <v xml:space="preserve">0696 </v>
      </c>
      <c r="E231" t="str">
        <f>"106 "</f>
        <v xml:space="preserve">106 </v>
      </c>
      <c r="F231" t="s">
        <v>469</v>
      </c>
      <c r="G231" s="1">
        <v>6000</v>
      </c>
      <c r="H231" t="s">
        <v>33</v>
      </c>
      <c r="I231" t="s">
        <v>34</v>
      </c>
      <c r="J231" s="1">
        <v>47721.95</v>
      </c>
    </row>
    <row r="232" spans="1:10" x14ac:dyDescent="0.25">
      <c r="A232" t="str">
        <f t="shared" si="16"/>
        <v>07/20/20</v>
      </c>
      <c r="B232" t="s">
        <v>470</v>
      </c>
      <c r="C232" t="str">
        <f t="shared" si="18"/>
        <v>21223</v>
      </c>
      <c r="D232" t="str">
        <f>"0698 "</f>
        <v xml:space="preserve">0698 </v>
      </c>
      <c r="E232" t="str">
        <f>"100 "</f>
        <v xml:space="preserve">100 </v>
      </c>
      <c r="F232" t="s">
        <v>471</v>
      </c>
      <c r="G232" s="1">
        <v>15000</v>
      </c>
      <c r="H232" t="s">
        <v>33</v>
      </c>
      <c r="I232" t="s">
        <v>34</v>
      </c>
      <c r="J232" s="1">
        <v>15719.01</v>
      </c>
    </row>
    <row r="233" spans="1:10" x14ac:dyDescent="0.25">
      <c r="A233" t="str">
        <f t="shared" si="16"/>
        <v>07/20/20</v>
      </c>
      <c r="B233" t="s">
        <v>472</v>
      </c>
      <c r="C233" t="str">
        <f>"21216"</f>
        <v>21216</v>
      </c>
      <c r="D233" t="str">
        <f>"2377D"</f>
        <v>2377D</v>
      </c>
      <c r="E233" t="str">
        <f>"032 "</f>
        <v xml:space="preserve">032 </v>
      </c>
      <c r="F233" t="s">
        <v>473</v>
      </c>
      <c r="G233" s="1">
        <v>7000</v>
      </c>
      <c r="H233" t="s">
        <v>33</v>
      </c>
      <c r="I233" t="s">
        <v>34</v>
      </c>
      <c r="J233" s="1">
        <v>29642.799999999999</v>
      </c>
    </row>
    <row r="234" spans="1:10" x14ac:dyDescent="0.25">
      <c r="A234" t="str">
        <f t="shared" si="16"/>
        <v>07/20/20</v>
      </c>
      <c r="B234" t="s">
        <v>474</v>
      </c>
      <c r="C234" t="str">
        <f>"21216"</f>
        <v>21216</v>
      </c>
      <c r="D234" t="str">
        <f>"2377D"</f>
        <v>2377D</v>
      </c>
      <c r="E234" t="str">
        <f>"035 "</f>
        <v xml:space="preserve">035 </v>
      </c>
      <c r="F234" t="s">
        <v>475</v>
      </c>
      <c r="G234" s="1">
        <v>7000</v>
      </c>
      <c r="H234" t="s">
        <v>33</v>
      </c>
      <c r="I234" t="s">
        <v>34</v>
      </c>
      <c r="J234" s="1">
        <v>15461.21</v>
      </c>
    </row>
    <row r="235" spans="1:10" x14ac:dyDescent="0.25">
      <c r="A235" t="str">
        <f t="shared" si="16"/>
        <v>07/20/20</v>
      </c>
      <c r="B235" t="s">
        <v>476</v>
      </c>
      <c r="C235" t="str">
        <f>"21216"</f>
        <v>21216</v>
      </c>
      <c r="D235" t="str">
        <f>"2817 "</f>
        <v xml:space="preserve">2817 </v>
      </c>
      <c r="E235" t="str">
        <f>"056 "</f>
        <v xml:space="preserve">056 </v>
      </c>
      <c r="F235" t="s">
        <v>477</v>
      </c>
      <c r="G235" s="1">
        <v>3900</v>
      </c>
      <c r="H235" t="s">
        <v>91</v>
      </c>
      <c r="I235" t="s">
        <v>15</v>
      </c>
      <c r="J235" s="1">
        <v>24899.93</v>
      </c>
    </row>
    <row r="236" spans="1:10" x14ac:dyDescent="0.25">
      <c r="A236" t="str">
        <f t="shared" si="16"/>
        <v>07/20/20</v>
      </c>
      <c r="B236" t="s">
        <v>478</v>
      </c>
      <c r="C236" t="str">
        <f>"21217"</f>
        <v>21217</v>
      </c>
      <c r="D236" t="str">
        <f>"3259 "</f>
        <v xml:space="preserve">3259 </v>
      </c>
      <c r="E236" t="str">
        <f>"025 "</f>
        <v xml:space="preserve">025 </v>
      </c>
      <c r="F236" t="s">
        <v>479</v>
      </c>
      <c r="G236" s="1">
        <v>7000</v>
      </c>
      <c r="H236" t="s">
        <v>30</v>
      </c>
      <c r="I236" t="s">
        <v>34</v>
      </c>
      <c r="J236" s="1">
        <v>5394.12</v>
      </c>
    </row>
    <row r="237" spans="1:10" x14ac:dyDescent="0.25">
      <c r="A237" t="str">
        <f t="shared" si="16"/>
        <v>07/20/20</v>
      </c>
      <c r="B237" t="s">
        <v>480</v>
      </c>
      <c r="C237" t="str">
        <f>"21217"</f>
        <v>21217</v>
      </c>
      <c r="D237" t="str">
        <f>"3211 "</f>
        <v xml:space="preserve">3211 </v>
      </c>
      <c r="E237" t="str">
        <f>"043 "</f>
        <v xml:space="preserve">043 </v>
      </c>
      <c r="F237" t="s">
        <v>481</v>
      </c>
      <c r="G237" s="1">
        <v>7000</v>
      </c>
      <c r="H237" t="s">
        <v>33</v>
      </c>
      <c r="I237" t="s">
        <v>34</v>
      </c>
      <c r="J237" s="1">
        <v>4104.2299999999996</v>
      </c>
    </row>
    <row r="238" spans="1:10" x14ac:dyDescent="0.25">
      <c r="A238" t="str">
        <f t="shared" si="16"/>
        <v>07/20/20</v>
      </c>
      <c r="B238" t="s">
        <v>482</v>
      </c>
      <c r="C238" t="str">
        <f>"21213"</f>
        <v>21213</v>
      </c>
      <c r="D238" t="str">
        <f>"4168 "</f>
        <v xml:space="preserve">4168 </v>
      </c>
      <c r="E238" t="str">
        <f>"052 "</f>
        <v xml:space="preserve">052 </v>
      </c>
      <c r="F238" t="s">
        <v>483</v>
      </c>
      <c r="G238" s="1">
        <v>28000</v>
      </c>
      <c r="H238" t="s">
        <v>33</v>
      </c>
      <c r="I238" t="s">
        <v>15</v>
      </c>
      <c r="J238" s="1">
        <v>22264.11</v>
      </c>
    </row>
    <row r="239" spans="1:10" x14ac:dyDescent="0.25">
      <c r="A239" t="str">
        <f t="shared" si="16"/>
        <v>07/20/20</v>
      </c>
      <c r="B239" t="s">
        <v>484</v>
      </c>
      <c r="C239" t="str">
        <f>"21223"</f>
        <v>21223</v>
      </c>
      <c r="D239" t="str">
        <f>"2100 "</f>
        <v xml:space="preserve">2100 </v>
      </c>
      <c r="E239" t="str">
        <f>"118 "</f>
        <v xml:space="preserve">118 </v>
      </c>
      <c r="F239" t="s">
        <v>485</v>
      </c>
      <c r="G239" s="1">
        <v>5000</v>
      </c>
      <c r="H239" t="s">
        <v>33</v>
      </c>
      <c r="I239" t="s">
        <v>34</v>
      </c>
      <c r="J239" s="1">
        <v>54693.42</v>
      </c>
    </row>
    <row r="240" spans="1:10" x14ac:dyDescent="0.25">
      <c r="A240" t="str">
        <f t="shared" si="16"/>
        <v>07/20/20</v>
      </c>
      <c r="B240" t="s">
        <v>486</v>
      </c>
      <c r="C240" t="str">
        <f>"21213"</f>
        <v>21213</v>
      </c>
      <c r="D240" t="str">
        <f>"1451 "</f>
        <v xml:space="preserve">1451 </v>
      </c>
      <c r="E240" t="str">
        <f>"062 "</f>
        <v xml:space="preserve">062 </v>
      </c>
      <c r="F240" t="s">
        <v>487</v>
      </c>
      <c r="G240" s="1">
        <v>15000</v>
      </c>
      <c r="H240" t="s">
        <v>33</v>
      </c>
      <c r="I240" t="s">
        <v>15</v>
      </c>
      <c r="J240" s="1">
        <v>14557.11</v>
      </c>
    </row>
    <row r="241" spans="1:10" x14ac:dyDescent="0.25">
      <c r="A241" t="str">
        <f t="shared" si="16"/>
        <v>07/20/20</v>
      </c>
      <c r="B241" t="s">
        <v>488</v>
      </c>
      <c r="C241" t="str">
        <f>"21213"</f>
        <v>21213</v>
      </c>
      <c r="D241" t="str">
        <f>"1450 "</f>
        <v xml:space="preserve">1450 </v>
      </c>
      <c r="E241" t="str">
        <f>"064 "</f>
        <v xml:space="preserve">064 </v>
      </c>
      <c r="F241" t="s">
        <v>489</v>
      </c>
      <c r="G241" s="1">
        <v>1000</v>
      </c>
      <c r="H241" t="s">
        <v>33</v>
      </c>
      <c r="I241" t="s">
        <v>15</v>
      </c>
      <c r="J241" s="1">
        <v>2781.13</v>
      </c>
    </row>
    <row r="242" spans="1:10" x14ac:dyDescent="0.25">
      <c r="A242" t="str">
        <f t="shared" si="16"/>
        <v>07/20/20</v>
      </c>
      <c r="B242" t="s">
        <v>490</v>
      </c>
      <c r="C242" t="str">
        <f>"21205"</f>
        <v>21205</v>
      </c>
      <c r="D242" t="str">
        <f>"1653 "</f>
        <v xml:space="preserve">1653 </v>
      </c>
      <c r="E242" t="str">
        <f>"060 "</f>
        <v xml:space="preserve">060 </v>
      </c>
      <c r="F242" t="s">
        <v>491</v>
      </c>
      <c r="G242" s="1">
        <v>2100</v>
      </c>
      <c r="H242" t="s">
        <v>33</v>
      </c>
      <c r="I242" t="s">
        <v>15</v>
      </c>
      <c r="J242" s="1">
        <v>15770.8</v>
      </c>
    </row>
    <row r="243" spans="1:10" x14ac:dyDescent="0.25">
      <c r="A243" t="str">
        <f t="shared" si="16"/>
        <v>07/20/20</v>
      </c>
      <c r="B243" t="s">
        <v>492</v>
      </c>
      <c r="C243" t="str">
        <f t="shared" ref="C243:C248" si="19">"21213"</f>
        <v>21213</v>
      </c>
      <c r="D243" t="str">
        <f>"1553 "</f>
        <v xml:space="preserve">1553 </v>
      </c>
      <c r="E243" t="str">
        <f>"061 "</f>
        <v xml:space="preserve">061 </v>
      </c>
      <c r="F243" t="s">
        <v>493</v>
      </c>
      <c r="G243" s="1">
        <v>1000</v>
      </c>
      <c r="H243" t="s">
        <v>33</v>
      </c>
      <c r="I243" t="s">
        <v>15</v>
      </c>
      <c r="J243" s="1">
        <v>67740.570000000007</v>
      </c>
    </row>
    <row r="244" spans="1:10" x14ac:dyDescent="0.25">
      <c r="A244" t="str">
        <f t="shared" si="16"/>
        <v>07/20/20</v>
      </c>
      <c r="B244" t="s">
        <v>494</v>
      </c>
      <c r="C244" t="str">
        <f t="shared" si="19"/>
        <v>21213</v>
      </c>
      <c r="D244" t="str">
        <f>"4171 "</f>
        <v xml:space="preserve">4171 </v>
      </c>
      <c r="E244" t="str">
        <f>"167 "</f>
        <v xml:space="preserve">167 </v>
      </c>
      <c r="F244" t="s">
        <v>495</v>
      </c>
      <c r="G244" s="1">
        <v>5000</v>
      </c>
      <c r="H244" t="s">
        <v>33</v>
      </c>
      <c r="I244" t="s">
        <v>34</v>
      </c>
      <c r="J244" s="1">
        <v>106388.12</v>
      </c>
    </row>
    <row r="245" spans="1:10" x14ac:dyDescent="0.25">
      <c r="A245" t="str">
        <f t="shared" si="16"/>
        <v>07/20/20</v>
      </c>
      <c r="B245" t="s">
        <v>496</v>
      </c>
      <c r="C245" t="str">
        <f t="shared" si="19"/>
        <v>21213</v>
      </c>
      <c r="D245" t="str">
        <f>"4171 "</f>
        <v xml:space="preserve">4171 </v>
      </c>
      <c r="E245" t="str">
        <f>"169 "</f>
        <v xml:space="preserve">169 </v>
      </c>
      <c r="F245" t="s">
        <v>497</v>
      </c>
      <c r="G245" s="1">
        <v>21000</v>
      </c>
      <c r="H245" t="s">
        <v>33</v>
      </c>
      <c r="I245" t="s">
        <v>15</v>
      </c>
      <c r="J245" s="1">
        <v>104551.78</v>
      </c>
    </row>
    <row r="246" spans="1:10" x14ac:dyDescent="0.25">
      <c r="A246" t="str">
        <f t="shared" si="16"/>
        <v>07/20/20</v>
      </c>
      <c r="B246" t="s">
        <v>498</v>
      </c>
      <c r="C246" t="str">
        <f t="shared" si="19"/>
        <v>21213</v>
      </c>
      <c r="D246" t="str">
        <f>"4171 "</f>
        <v xml:space="preserve">4171 </v>
      </c>
      <c r="E246" t="str">
        <f>"172 "</f>
        <v xml:space="preserve">172 </v>
      </c>
      <c r="F246" t="s">
        <v>499</v>
      </c>
      <c r="G246" s="1">
        <v>5000</v>
      </c>
      <c r="H246" t="s">
        <v>33</v>
      </c>
      <c r="I246" t="s">
        <v>34</v>
      </c>
      <c r="J246" s="1">
        <v>55274.26</v>
      </c>
    </row>
    <row r="247" spans="1:10" x14ac:dyDescent="0.25">
      <c r="A247" t="str">
        <f t="shared" si="16"/>
        <v>07/20/20</v>
      </c>
      <c r="B247" t="s">
        <v>500</v>
      </c>
      <c r="C247" t="str">
        <f t="shared" si="19"/>
        <v>21213</v>
      </c>
      <c r="D247" t="str">
        <f>"4171 "</f>
        <v xml:space="preserve">4171 </v>
      </c>
      <c r="E247" t="str">
        <f>"177 "</f>
        <v xml:space="preserve">177 </v>
      </c>
      <c r="F247" t="s">
        <v>501</v>
      </c>
      <c r="G247" s="1">
        <v>21000</v>
      </c>
      <c r="H247" t="s">
        <v>33</v>
      </c>
      <c r="I247" t="s">
        <v>15</v>
      </c>
      <c r="J247" s="1">
        <v>86241.32</v>
      </c>
    </row>
    <row r="248" spans="1:10" x14ac:dyDescent="0.25">
      <c r="A248" t="str">
        <f t="shared" si="16"/>
        <v>07/20/20</v>
      </c>
      <c r="B248" t="s">
        <v>502</v>
      </c>
      <c r="C248" t="str">
        <f t="shared" si="19"/>
        <v>21213</v>
      </c>
      <c r="D248" t="str">
        <f>"4171 "</f>
        <v xml:space="preserve">4171 </v>
      </c>
      <c r="E248" t="str">
        <f>"146 "</f>
        <v xml:space="preserve">146 </v>
      </c>
      <c r="F248" t="s">
        <v>503</v>
      </c>
      <c r="G248" s="1">
        <v>5000</v>
      </c>
      <c r="H248" t="s">
        <v>33</v>
      </c>
      <c r="I248" t="s">
        <v>34</v>
      </c>
      <c r="J248" s="1">
        <v>49822.27</v>
      </c>
    </row>
    <row r="249" spans="1:10" x14ac:dyDescent="0.25">
      <c r="A249" t="str">
        <f t="shared" si="16"/>
        <v>07/20/20</v>
      </c>
      <c r="B249" t="s">
        <v>504</v>
      </c>
      <c r="C249" t="str">
        <f>"21229"</f>
        <v>21229</v>
      </c>
      <c r="D249" t="str">
        <f>"2542 "</f>
        <v xml:space="preserve">2542 </v>
      </c>
      <c r="E249" t="str">
        <f>"024 "</f>
        <v xml:space="preserve">024 </v>
      </c>
      <c r="F249" t="s">
        <v>505</v>
      </c>
      <c r="G249" s="1">
        <v>96200</v>
      </c>
      <c r="H249" t="s">
        <v>14</v>
      </c>
      <c r="I249" t="s">
        <v>15</v>
      </c>
      <c r="J249" s="1">
        <v>3511.06</v>
      </c>
    </row>
    <row r="250" spans="1:10" x14ac:dyDescent="0.25">
      <c r="A250" t="str">
        <f t="shared" si="16"/>
        <v>07/20/20</v>
      </c>
      <c r="B250" t="s">
        <v>506</v>
      </c>
      <c r="C250" t="str">
        <f>"21215"</f>
        <v>21215</v>
      </c>
      <c r="D250" t="str">
        <f>"3327C"</f>
        <v>3327C</v>
      </c>
      <c r="E250" t="str">
        <f>"005 "</f>
        <v xml:space="preserve">005 </v>
      </c>
      <c r="F250" t="s">
        <v>507</v>
      </c>
      <c r="G250" s="1">
        <v>6000</v>
      </c>
      <c r="H250" t="s">
        <v>14</v>
      </c>
      <c r="I250" t="s">
        <v>15</v>
      </c>
      <c r="J250" s="1">
        <v>31081.11</v>
      </c>
    </row>
    <row r="251" spans="1:10" x14ac:dyDescent="0.25">
      <c r="A251" t="str">
        <f t="shared" si="16"/>
        <v>07/20/20</v>
      </c>
      <c r="B251" t="s">
        <v>508</v>
      </c>
      <c r="C251" t="str">
        <f>"21215"</f>
        <v>21215</v>
      </c>
      <c r="D251" t="str">
        <f>"3341 "</f>
        <v xml:space="preserve">3341 </v>
      </c>
      <c r="E251" t="str">
        <f>"036 "</f>
        <v xml:space="preserve">036 </v>
      </c>
      <c r="F251" t="s">
        <v>509</v>
      </c>
      <c r="G251" s="1">
        <v>32000</v>
      </c>
      <c r="H251" t="s">
        <v>14</v>
      </c>
      <c r="I251" t="s">
        <v>15</v>
      </c>
      <c r="J251" s="1">
        <v>38286.65</v>
      </c>
    </row>
    <row r="252" spans="1:10" x14ac:dyDescent="0.25">
      <c r="A252" t="str">
        <f t="shared" si="16"/>
        <v>07/20/20</v>
      </c>
      <c r="B252" t="s">
        <v>510</v>
      </c>
      <c r="C252" t="str">
        <f>"21213"</f>
        <v>21213</v>
      </c>
      <c r="D252" t="str">
        <f>"1477 "</f>
        <v xml:space="preserve">1477 </v>
      </c>
      <c r="E252" t="str">
        <f>"105 "</f>
        <v xml:space="preserve">105 </v>
      </c>
      <c r="F252" t="s">
        <v>209</v>
      </c>
      <c r="G252" s="1">
        <v>19000</v>
      </c>
      <c r="H252" t="s">
        <v>33</v>
      </c>
      <c r="I252" t="s">
        <v>15</v>
      </c>
      <c r="J252" s="1">
        <v>15128.39</v>
      </c>
    </row>
    <row r="253" spans="1:10" x14ac:dyDescent="0.25">
      <c r="A253" t="str">
        <f t="shared" si="16"/>
        <v>07/20/20</v>
      </c>
      <c r="B253" t="s">
        <v>511</v>
      </c>
      <c r="C253" t="str">
        <f>"21213"</f>
        <v>21213</v>
      </c>
      <c r="D253" t="str">
        <f>"1477 "</f>
        <v xml:space="preserve">1477 </v>
      </c>
      <c r="E253" t="str">
        <f>"099 "</f>
        <v xml:space="preserve">099 </v>
      </c>
      <c r="F253" t="s">
        <v>512</v>
      </c>
      <c r="G253" s="1">
        <v>19000</v>
      </c>
      <c r="H253" t="s">
        <v>33</v>
      </c>
      <c r="I253" t="s">
        <v>15</v>
      </c>
      <c r="J253" s="1">
        <v>539112.67000000004</v>
      </c>
    </row>
    <row r="254" spans="1:10" x14ac:dyDescent="0.25">
      <c r="A254" t="str">
        <f t="shared" si="16"/>
        <v>07/20/20</v>
      </c>
      <c r="B254" t="s">
        <v>513</v>
      </c>
      <c r="C254" t="str">
        <f>"21229"</f>
        <v>21229</v>
      </c>
      <c r="D254" t="str">
        <f>"2275A"</f>
        <v>2275A</v>
      </c>
      <c r="E254" t="str">
        <f>"134 "</f>
        <v xml:space="preserve">134 </v>
      </c>
      <c r="F254" t="s">
        <v>514</v>
      </c>
      <c r="G254" s="1">
        <v>76500</v>
      </c>
      <c r="H254" t="s">
        <v>30</v>
      </c>
      <c r="I254" t="s">
        <v>15</v>
      </c>
      <c r="J254" s="1">
        <v>25572.62</v>
      </c>
    </row>
    <row r="255" spans="1:10" x14ac:dyDescent="0.25">
      <c r="A255" t="str">
        <f t="shared" si="16"/>
        <v>07/20/20</v>
      </c>
      <c r="B255" t="s">
        <v>515</v>
      </c>
      <c r="C255" t="str">
        <f>"21217"</f>
        <v>21217</v>
      </c>
      <c r="D255" t="str">
        <f>"0298 "</f>
        <v xml:space="preserve">0298 </v>
      </c>
      <c r="E255" t="str">
        <f>"033 "</f>
        <v xml:space="preserve">033 </v>
      </c>
      <c r="F255" t="s">
        <v>516</v>
      </c>
      <c r="G255" s="1">
        <v>146900</v>
      </c>
      <c r="H255" t="s">
        <v>33</v>
      </c>
      <c r="I255" t="s">
        <v>15</v>
      </c>
      <c r="J255" s="1">
        <v>73905.31</v>
      </c>
    </row>
    <row r="256" spans="1:10" x14ac:dyDescent="0.25">
      <c r="A256" t="str">
        <f t="shared" si="16"/>
        <v>07/20/20</v>
      </c>
      <c r="B256" t="s">
        <v>517</v>
      </c>
      <c r="C256" t="str">
        <f>"21217"</f>
        <v>21217</v>
      </c>
      <c r="D256" t="str">
        <f>"0297 "</f>
        <v xml:space="preserve">0297 </v>
      </c>
      <c r="E256" t="str">
        <f>"028 "</f>
        <v xml:space="preserve">028 </v>
      </c>
      <c r="F256" t="s">
        <v>518</v>
      </c>
      <c r="G256" s="1">
        <v>1000</v>
      </c>
      <c r="H256" t="s">
        <v>33</v>
      </c>
      <c r="I256" t="s">
        <v>15</v>
      </c>
      <c r="J256" s="1">
        <v>5688.84</v>
      </c>
    </row>
    <row r="257" spans="1:10" x14ac:dyDescent="0.25">
      <c r="A257" t="str">
        <f t="shared" si="16"/>
        <v>07/20/20</v>
      </c>
      <c r="B257" t="s">
        <v>519</v>
      </c>
      <c r="C257" t="str">
        <f>"21217"</f>
        <v>21217</v>
      </c>
      <c r="D257" t="str">
        <f>"0297 "</f>
        <v xml:space="preserve">0297 </v>
      </c>
      <c r="E257" t="str">
        <f>"027 "</f>
        <v xml:space="preserve">027 </v>
      </c>
      <c r="F257" t="s">
        <v>518</v>
      </c>
      <c r="G257" s="1">
        <v>1000</v>
      </c>
      <c r="H257" t="s">
        <v>33</v>
      </c>
      <c r="I257" t="s">
        <v>15</v>
      </c>
      <c r="J257" s="1">
        <v>4302.92</v>
      </c>
    </row>
    <row r="258" spans="1:10" x14ac:dyDescent="0.25">
      <c r="A258" t="str">
        <f t="shared" si="16"/>
        <v>07/20/20</v>
      </c>
      <c r="B258" t="s">
        <v>520</v>
      </c>
      <c r="C258" t="str">
        <f>"21205"</f>
        <v>21205</v>
      </c>
      <c r="D258" t="str">
        <f>"1629 "</f>
        <v xml:space="preserve">1629 </v>
      </c>
      <c r="E258" t="str">
        <f>"018P"</f>
        <v>018P</v>
      </c>
      <c r="F258" t="s">
        <v>521</v>
      </c>
      <c r="G258" s="1">
        <v>29000</v>
      </c>
      <c r="H258" t="s">
        <v>33</v>
      </c>
      <c r="I258" t="s">
        <v>34</v>
      </c>
      <c r="J258" s="1">
        <v>23180.34</v>
      </c>
    </row>
    <row r="259" spans="1:10" x14ac:dyDescent="0.25">
      <c r="A259" t="str">
        <f t="shared" ref="A259:A322" si="20">"07/20/20"</f>
        <v>07/20/20</v>
      </c>
      <c r="B259" t="s">
        <v>522</v>
      </c>
      <c r="C259" t="str">
        <f>"21213"</f>
        <v>21213</v>
      </c>
      <c r="D259" t="str">
        <f>"1542 "</f>
        <v xml:space="preserve">1542 </v>
      </c>
      <c r="E259" t="str">
        <f>"046 "</f>
        <v xml:space="preserve">046 </v>
      </c>
      <c r="F259" t="s">
        <v>523</v>
      </c>
      <c r="G259" s="1">
        <v>41000</v>
      </c>
      <c r="H259" t="s">
        <v>33</v>
      </c>
      <c r="I259" t="s">
        <v>15</v>
      </c>
      <c r="J259" s="1">
        <v>10986.23</v>
      </c>
    </row>
    <row r="260" spans="1:10" x14ac:dyDescent="0.25">
      <c r="A260" t="str">
        <f t="shared" si="20"/>
        <v>07/20/20</v>
      </c>
      <c r="B260" t="s">
        <v>524</v>
      </c>
      <c r="C260" t="str">
        <f>"21226"</f>
        <v>21226</v>
      </c>
      <c r="D260" t="str">
        <f>"7184 "</f>
        <v xml:space="preserve">7184 </v>
      </c>
      <c r="E260" t="str">
        <f>"039 "</f>
        <v xml:space="preserve">039 </v>
      </c>
      <c r="F260" t="s">
        <v>525</v>
      </c>
      <c r="G260" s="1">
        <v>74500</v>
      </c>
      <c r="H260" t="s">
        <v>161</v>
      </c>
      <c r="I260" t="s">
        <v>34</v>
      </c>
      <c r="J260" s="1">
        <v>21108.57</v>
      </c>
    </row>
    <row r="261" spans="1:10" x14ac:dyDescent="0.25">
      <c r="A261" t="str">
        <f t="shared" si="20"/>
        <v>07/20/20</v>
      </c>
      <c r="B261" t="s">
        <v>526</v>
      </c>
      <c r="C261" t="str">
        <f>"21226"</f>
        <v>21226</v>
      </c>
      <c r="D261" t="str">
        <f>"7201 "</f>
        <v xml:space="preserve">7201 </v>
      </c>
      <c r="E261" t="str">
        <f>"005 "</f>
        <v xml:space="preserve">005 </v>
      </c>
      <c r="F261" t="s">
        <v>527</v>
      </c>
      <c r="G261" s="1">
        <v>13000</v>
      </c>
      <c r="H261" t="s">
        <v>14</v>
      </c>
      <c r="I261" t="s">
        <v>34</v>
      </c>
      <c r="J261" s="1">
        <v>4375.12</v>
      </c>
    </row>
    <row r="262" spans="1:10" x14ac:dyDescent="0.25">
      <c r="A262" t="str">
        <f t="shared" si="20"/>
        <v>07/20/20</v>
      </c>
      <c r="B262" t="s">
        <v>528</v>
      </c>
      <c r="C262" t="str">
        <f t="shared" ref="C262:C268" si="21">"21213"</f>
        <v>21213</v>
      </c>
      <c r="D262" t="str">
        <f>"1137 "</f>
        <v xml:space="preserve">1137 </v>
      </c>
      <c r="E262" t="str">
        <f>"049 "</f>
        <v xml:space="preserve">049 </v>
      </c>
      <c r="F262" t="s">
        <v>529</v>
      </c>
      <c r="G262" s="1">
        <v>1000</v>
      </c>
      <c r="H262" t="s">
        <v>33</v>
      </c>
      <c r="I262" t="s">
        <v>15</v>
      </c>
      <c r="J262" s="1">
        <v>58212.47</v>
      </c>
    </row>
    <row r="263" spans="1:10" x14ac:dyDescent="0.25">
      <c r="A263" t="str">
        <f t="shared" si="20"/>
        <v>07/20/20</v>
      </c>
      <c r="B263" t="s">
        <v>530</v>
      </c>
      <c r="C263" t="str">
        <f t="shared" si="21"/>
        <v>21213</v>
      </c>
      <c r="D263" t="str">
        <f>"1108 "</f>
        <v xml:space="preserve">1108 </v>
      </c>
      <c r="E263" t="str">
        <f>"078 "</f>
        <v xml:space="preserve">078 </v>
      </c>
      <c r="F263" t="s">
        <v>531</v>
      </c>
      <c r="G263" s="1">
        <v>19000</v>
      </c>
      <c r="H263" t="s">
        <v>33</v>
      </c>
      <c r="I263" t="s">
        <v>34</v>
      </c>
      <c r="J263" s="1">
        <v>7404.79</v>
      </c>
    </row>
    <row r="264" spans="1:10" x14ac:dyDescent="0.25">
      <c r="A264" t="str">
        <f t="shared" si="20"/>
        <v>07/20/20</v>
      </c>
      <c r="B264" t="s">
        <v>532</v>
      </c>
      <c r="C264" t="str">
        <f t="shared" si="21"/>
        <v>21213</v>
      </c>
      <c r="D264" t="str">
        <f>"1108 "</f>
        <v xml:space="preserve">1108 </v>
      </c>
      <c r="E264" t="str">
        <f>"075 "</f>
        <v xml:space="preserve">075 </v>
      </c>
      <c r="F264" t="s">
        <v>533</v>
      </c>
      <c r="G264" s="1">
        <v>30000</v>
      </c>
      <c r="H264" t="s">
        <v>33</v>
      </c>
      <c r="I264" t="s">
        <v>15</v>
      </c>
      <c r="J264" s="1">
        <v>11715.8</v>
      </c>
    </row>
    <row r="265" spans="1:10" x14ac:dyDescent="0.25">
      <c r="A265" t="str">
        <f t="shared" si="20"/>
        <v>07/20/20</v>
      </c>
      <c r="B265" t="s">
        <v>534</v>
      </c>
      <c r="C265" t="str">
        <f t="shared" si="21"/>
        <v>21213</v>
      </c>
      <c r="D265" t="str">
        <f>"1101 "</f>
        <v xml:space="preserve">1101 </v>
      </c>
      <c r="E265" t="str">
        <f>"101 "</f>
        <v xml:space="preserve">101 </v>
      </c>
      <c r="F265" t="s">
        <v>535</v>
      </c>
      <c r="G265" s="1">
        <v>3000</v>
      </c>
      <c r="H265" t="s">
        <v>33</v>
      </c>
      <c r="I265" t="s">
        <v>34</v>
      </c>
      <c r="J265" s="1">
        <v>277872.08</v>
      </c>
    </row>
    <row r="266" spans="1:10" x14ac:dyDescent="0.25">
      <c r="A266" t="str">
        <f t="shared" si="20"/>
        <v>07/20/20</v>
      </c>
      <c r="B266" t="s">
        <v>536</v>
      </c>
      <c r="C266" t="str">
        <f t="shared" si="21"/>
        <v>21213</v>
      </c>
      <c r="D266" t="str">
        <f>"1101 "</f>
        <v xml:space="preserve">1101 </v>
      </c>
      <c r="E266" t="str">
        <f>"098 "</f>
        <v xml:space="preserve">098 </v>
      </c>
      <c r="F266" t="s">
        <v>537</v>
      </c>
      <c r="G266" s="1">
        <v>19000</v>
      </c>
      <c r="H266" t="s">
        <v>33</v>
      </c>
      <c r="I266" t="s">
        <v>15</v>
      </c>
      <c r="J266" s="1">
        <v>76867.600000000006</v>
      </c>
    </row>
    <row r="267" spans="1:10" x14ac:dyDescent="0.25">
      <c r="A267" t="str">
        <f t="shared" si="20"/>
        <v>07/20/20</v>
      </c>
      <c r="B267" t="s">
        <v>538</v>
      </c>
      <c r="C267" t="str">
        <f t="shared" si="21"/>
        <v>21213</v>
      </c>
      <c r="D267" t="str">
        <f>"1101 "</f>
        <v xml:space="preserve">1101 </v>
      </c>
      <c r="E267" t="str">
        <f>"085 "</f>
        <v xml:space="preserve">085 </v>
      </c>
      <c r="F267" t="s">
        <v>539</v>
      </c>
      <c r="G267" s="1">
        <v>3000</v>
      </c>
      <c r="H267" t="s">
        <v>33</v>
      </c>
      <c r="I267" t="s">
        <v>34</v>
      </c>
      <c r="J267" s="1">
        <v>54999.26</v>
      </c>
    </row>
    <row r="268" spans="1:10" x14ac:dyDescent="0.25">
      <c r="A268" t="str">
        <f t="shared" si="20"/>
        <v>07/20/20</v>
      </c>
      <c r="B268" t="s">
        <v>540</v>
      </c>
      <c r="C268" t="str">
        <f t="shared" si="21"/>
        <v>21213</v>
      </c>
      <c r="D268" t="str">
        <f>"1101 "</f>
        <v xml:space="preserve">1101 </v>
      </c>
      <c r="E268" t="str">
        <f>"076 "</f>
        <v xml:space="preserve">076 </v>
      </c>
      <c r="F268" t="s">
        <v>541</v>
      </c>
      <c r="G268" s="1">
        <v>3000</v>
      </c>
      <c r="H268" t="s">
        <v>33</v>
      </c>
      <c r="I268" t="s">
        <v>34</v>
      </c>
      <c r="J268" s="1">
        <v>32080.03</v>
      </c>
    </row>
    <row r="269" spans="1:10" x14ac:dyDescent="0.25">
      <c r="A269" t="str">
        <f t="shared" si="20"/>
        <v>07/20/20</v>
      </c>
      <c r="B269" t="s">
        <v>542</v>
      </c>
      <c r="C269" t="str">
        <f>"21218"</f>
        <v>21218</v>
      </c>
      <c r="D269" t="str">
        <f>"4010H"</f>
        <v>4010H</v>
      </c>
      <c r="E269" t="str">
        <f>"011 "</f>
        <v xml:space="preserve">011 </v>
      </c>
      <c r="F269" t="s">
        <v>543</v>
      </c>
      <c r="G269" s="1">
        <v>31000</v>
      </c>
      <c r="H269" t="s">
        <v>30</v>
      </c>
      <c r="I269" t="s">
        <v>15</v>
      </c>
      <c r="J269" s="1">
        <v>15606.21</v>
      </c>
    </row>
    <row r="270" spans="1:10" x14ac:dyDescent="0.25">
      <c r="A270" t="str">
        <f t="shared" si="20"/>
        <v>07/20/20</v>
      </c>
      <c r="B270" t="s">
        <v>544</v>
      </c>
      <c r="C270" t="str">
        <f>"21213"</f>
        <v>21213</v>
      </c>
      <c r="D270" t="str">
        <f>"4164A"</f>
        <v>4164A</v>
      </c>
      <c r="E270" t="str">
        <f>"088 "</f>
        <v xml:space="preserve">088 </v>
      </c>
      <c r="F270" t="s">
        <v>545</v>
      </c>
      <c r="G270" s="1">
        <v>5000</v>
      </c>
      <c r="H270" t="s">
        <v>33</v>
      </c>
      <c r="I270" t="s">
        <v>34</v>
      </c>
      <c r="J270" s="1">
        <v>83857.31</v>
      </c>
    </row>
    <row r="271" spans="1:10" x14ac:dyDescent="0.25">
      <c r="A271" t="str">
        <f t="shared" si="20"/>
        <v>07/20/20</v>
      </c>
      <c r="B271" t="s">
        <v>546</v>
      </c>
      <c r="C271" t="str">
        <f>"21213"</f>
        <v>21213</v>
      </c>
      <c r="D271" t="str">
        <f>"4163B"</f>
        <v>4163B</v>
      </c>
      <c r="E271" t="str">
        <f>"019 "</f>
        <v xml:space="preserve">019 </v>
      </c>
      <c r="F271" t="s">
        <v>547</v>
      </c>
      <c r="G271" s="1">
        <v>5000</v>
      </c>
      <c r="H271" t="s">
        <v>33</v>
      </c>
      <c r="I271" t="s">
        <v>34</v>
      </c>
      <c r="J271" s="1">
        <v>15368.13</v>
      </c>
    </row>
    <row r="272" spans="1:10" x14ac:dyDescent="0.25">
      <c r="A272" t="str">
        <f t="shared" si="20"/>
        <v>07/20/20</v>
      </c>
      <c r="B272" t="s">
        <v>548</v>
      </c>
      <c r="C272" t="str">
        <f>"21205"</f>
        <v>21205</v>
      </c>
      <c r="D272" t="str">
        <f>"1661 "</f>
        <v xml:space="preserve">1661 </v>
      </c>
      <c r="E272" t="str">
        <f>"046 "</f>
        <v xml:space="preserve">046 </v>
      </c>
      <c r="F272" t="s">
        <v>549</v>
      </c>
      <c r="G272" s="1">
        <v>51600</v>
      </c>
      <c r="H272" t="s">
        <v>33</v>
      </c>
      <c r="I272" t="s">
        <v>34</v>
      </c>
      <c r="J272" s="1">
        <v>114356.15</v>
      </c>
    </row>
    <row r="273" spans="1:10" x14ac:dyDescent="0.25">
      <c r="A273" t="str">
        <f t="shared" si="20"/>
        <v>07/20/20</v>
      </c>
      <c r="B273" t="s">
        <v>550</v>
      </c>
      <c r="C273" t="str">
        <f>"21216"</f>
        <v>21216</v>
      </c>
      <c r="D273" t="str">
        <f>"3055A"</f>
        <v>3055A</v>
      </c>
      <c r="E273" t="str">
        <f>"007 "</f>
        <v xml:space="preserve">007 </v>
      </c>
      <c r="F273" t="s">
        <v>551</v>
      </c>
      <c r="G273" s="1">
        <v>94900</v>
      </c>
      <c r="H273" t="s">
        <v>14</v>
      </c>
      <c r="I273" t="s">
        <v>15</v>
      </c>
      <c r="J273" s="1">
        <v>58982.62</v>
      </c>
    </row>
    <row r="274" spans="1:10" x14ac:dyDescent="0.25">
      <c r="A274" t="str">
        <f t="shared" si="20"/>
        <v>07/20/20</v>
      </c>
      <c r="B274" t="s">
        <v>552</v>
      </c>
      <c r="C274" t="str">
        <f>"21216"</f>
        <v>21216</v>
      </c>
      <c r="D274" t="str">
        <f>"3055A"</f>
        <v>3055A</v>
      </c>
      <c r="E274" t="str">
        <f>"008 "</f>
        <v xml:space="preserve">008 </v>
      </c>
      <c r="F274" t="s">
        <v>553</v>
      </c>
      <c r="G274" s="1">
        <v>32000</v>
      </c>
      <c r="H274" t="s">
        <v>14</v>
      </c>
      <c r="I274" t="s">
        <v>34</v>
      </c>
      <c r="J274" s="1">
        <v>20104.439999999999</v>
      </c>
    </row>
    <row r="275" spans="1:10" x14ac:dyDescent="0.25">
      <c r="A275" t="str">
        <f t="shared" si="20"/>
        <v>07/20/20</v>
      </c>
      <c r="B275" t="s">
        <v>554</v>
      </c>
      <c r="C275" t="str">
        <f>"21229"</f>
        <v>21229</v>
      </c>
      <c r="D275" t="str">
        <f>"2484 "</f>
        <v xml:space="preserve">2484 </v>
      </c>
      <c r="E275" t="str">
        <f>"033B"</f>
        <v>033B</v>
      </c>
      <c r="F275" t="s">
        <v>555</v>
      </c>
      <c r="G275" s="1">
        <v>17000</v>
      </c>
      <c r="H275" t="s">
        <v>14</v>
      </c>
      <c r="I275" t="s">
        <v>15</v>
      </c>
      <c r="J275" s="1">
        <v>45098.76</v>
      </c>
    </row>
    <row r="276" spans="1:10" x14ac:dyDescent="0.25">
      <c r="A276" t="str">
        <f t="shared" si="20"/>
        <v>07/20/20</v>
      </c>
      <c r="B276" t="s">
        <v>556</v>
      </c>
      <c r="C276" t="str">
        <f>"21215"</f>
        <v>21215</v>
      </c>
      <c r="D276" t="str">
        <f>"4526A"</f>
        <v>4526A</v>
      </c>
      <c r="E276" t="str">
        <f>"013 "</f>
        <v xml:space="preserve">013 </v>
      </c>
      <c r="F276" t="s">
        <v>557</v>
      </c>
      <c r="G276" s="1">
        <v>2000</v>
      </c>
      <c r="H276" t="s">
        <v>91</v>
      </c>
      <c r="I276" t="s">
        <v>15</v>
      </c>
      <c r="J276" s="1">
        <v>30786.44</v>
      </c>
    </row>
    <row r="277" spans="1:10" x14ac:dyDescent="0.25">
      <c r="A277" t="str">
        <f t="shared" si="20"/>
        <v>07/20/20</v>
      </c>
      <c r="B277" t="s">
        <v>558</v>
      </c>
      <c r="C277" t="str">
        <f>"21215"</f>
        <v>21215</v>
      </c>
      <c r="D277" t="str">
        <f>"4526 "</f>
        <v xml:space="preserve">4526 </v>
      </c>
      <c r="E277" t="str">
        <f>"039 "</f>
        <v xml:space="preserve">039 </v>
      </c>
      <c r="F277" t="s">
        <v>559</v>
      </c>
      <c r="G277" s="1">
        <v>4000</v>
      </c>
      <c r="H277" t="s">
        <v>91</v>
      </c>
      <c r="I277" t="s">
        <v>15</v>
      </c>
      <c r="J277" s="1">
        <v>200284.31</v>
      </c>
    </row>
    <row r="278" spans="1:10" x14ac:dyDescent="0.25">
      <c r="A278" t="str">
        <f t="shared" si="20"/>
        <v>07/20/20</v>
      </c>
      <c r="B278" t="s">
        <v>560</v>
      </c>
      <c r="C278" t="str">
        <f>"21215"</f>
        <v>21215</v>
      </c>
      <c r="D278" t="str">
        <f>"4527 "</f>
        <v xml:space="preserve">4527 </v>
      </c>
      <c r="E278" t="str">
        <f>"029 "</f>
        <v xml:space="preserve">029 </v>
      </c>
      <c r="F278" t="s">
        <v>561</v>
      </c>
      <c r="G278" s="1">
        <v>17000</v>
      </c>
      <c r="H278" t="s">
        <v>14</v>
      </c>
      <c r="I278" t="s">
        <v>15</v>
      </c>
      <c r="J278" s="1">
        <v>48992.32</v>
      </c>
    </row>
    <row r="279" spans="1:10" x14ac:dyDescent="0.25">
      <c r="A279" t="str">
        <f t="shared" si="20"/>
        <v>07/20/20</v>
      </c>
      <c r="B279" t="s">
        <v>562</v>
      </c>
      <c r="C279" t="str">
        <f>"21223"</f>
        <v>21223</v>
      </c>
      <c r="D279" t="str">
        <f>"0260 "</f>
        <v xml:space="preserve">0260 </v>
      </c>
      <c r="E279" t="str">
        <f>"109 "</f>
        <v xml:space="preserve">109 </v>
      </c>
      <c r="F279" t="s">
        <v>563</v>
      </c>
      <c r="G279" s="1">
        <v>6000</v>
      </c>
      <c r="H279" t="s">
        <v>33</v>
      </c>
      <c r="I279" t="s">
        <v>15</v>
      </c>
      <c r="J279" s="1">
        <v>6159.38</v>
      </c>
    </row>
    <row r="280" spans="1:10" x14ac:dyDescent="0.25">
      <c r="A280" t="str">
        <f t="shared" si="20"/>
        <v>07/20/20</v>
      </c>
      <c r="B280" t="s">
        <v>564</v>
      </c>
      <c r="C280" t="str">
        <f>"21223"</f>
        <v>21223</v>
      </c>
      <c r="D280" t="str">
        <f>"0260 "</f>
        <v xml:space="preserve">0260 </v>
      </c>
      <c r="E280" t="str">
        <f>"083 "</f>
        <v xml:space="preserve">083 </v>
      </c>
      <c r="F280" t="s">
        <v>565</v>
      </c>
      <c r="G280" s="1">
        <v>6000</v>
      </c>
      <c r="H280" t="s">
        <v>33</v>
      </c>
      <c r="I280" t="s">
        <v>15</v>
      </c>
      <c r="J280" s="1">
        <v>16747.14</v>
      </c>
    </row>
    <row r="281" spans="1:10" x14ac:dyDescent="0.25">
      <c r="A281" t="str">
        <f t="shared" si="20"/>
        <v>07/20/20</v>
      </c>
      <c r="B281" t="s">
        <v>566</v>
      </c>
      <c r="C281" t="str">
        <f>"21217"</f>
        <v>21217</v>
      </c>
      <c r="D281" t="str">
        <f>"3416 "</f>
        <v xml:space="preserve">3416 </v>
      </c>
      <c r="E281" t="str">
        <f>"034 "</f>
        <v xml:space="preserve">034 </v>
      </c>
      <c r="F281" t="s">
        <v>567</v>
      </c>
      <c r="G281" s="1">
        <v>86600</v>
      </c>
      <c r="H281" t="s">
        <v>33</v>
      </c>
      <c r="I281" t="s">
        <v>15</v>
      </c>
      <c r="J281" s="1">
        <v>8565.6200000000008</v>
      </c>
    </row>
    <row r="282" spans="1:10" x14ac:dyDescent="0.25">
      <c r="A282" t="str">
        <f t="shared" si="20"/>
        <v>07/20/20</v>
      </c>
      <c r="B282" t="s">
        <v>568</v>
      </c>
      <c r="C282" t="str">
        <f>"21217"</f>
        <v>21217</v>
      </c>
      <c r="D282" t="str">
        <f>"3413 "</f>
        <v xml:space="preserve">3413 </v>
      </c>
      <c r="E282" t="str">
        <f>"030 "</f>
        <v xml:space="preserve">030 </v>
      </c>
      <c r="F282" t="s">
        <v>569</v>
      </c>
      <c r="G282" s="1">
        <v>61300</v>
      </c>
      <c r="H282" t="s">
        <v>33</v>
      </c>
      <c r="I282" t="s">
        <v>15</v>
      </c>
      <c r="J282" s="1">
        <v>119767.41</v>
      </c>
    </row>
    <row r="283" spans="1:10" x14ac:dyDescent="0.25">
      <c r="A283" t="str">
        <f t="shared" si="20"/>
        <v>07/20/20</v>
      </c>
      <c r="B283" t="s">
        <v>570</v>
      </c>
      <c r="C283" t="str">
        <f>"21216"</f>
        <v>21216</v>
      </c>
      <c r="D283" t="str">
        <f>"2378 "</f>
        <v xml:space="preserve">2378 </v>
      </c>
      <c r="E283" t="str">
        <f>"003C"</f>
        <v>003C</v>
      </c>
      <c r="F283" t="s">
        <v>571</v>
      </c>
      <c r="G283" s="1">
        <v>15000</v>
      </c>
      <c r="H283" t="s">
        <v>14</v>
      </c>
      <c r="I283" t="s">
        <v>34</v>
      </c>
      <c r="J283" s="1">
        <v>11907.73</v>
      </c>
    </row>
    <row r="284" spans="1:10" x14ac:dyDescent="0.25">
      <c r="A284" t="str">
        <f t="shared" si="20"/>
        <v>07/20/20</v>
      </c>
      <c r="B284" t="s">
        <v>572</v>
      </c>
      <c r="C284" t="str">
        <f>"21216"</f>
        <v>21216</v>
      </c>
      <c r="D284" t="str">
        <f>"2378 "</f>
        <v xml:space="preserve">2378 </v>
      </c>
      <c r="E284" t="str">
        <f>"001 "</f>
        <v xml:space="preserve">001 </v>
      </c>
      <c r="F284" t="s">
        <v>573</v>
      </c>
      <c r="G284" s="1">
        <v>7000</v>
      </c>
      <c r="H284" t="s">
        <v>14</v>
      </c>
      <c r="I284" t="s">
        <v>34</v>
      </c>
      <c r="J284" s="1">
        <v>9194.06</v>
      </c>
    </row>
    <row r="285" spans="1:10" x14ac:dyDescent="0.25">
      <c r="A285" t="str">
        <f t="shared" si="20"/>
        <v>07/20/20</v>
      </c>
      <c r="B285" t="s">
        <v>574</v>
      </c>
      <c r="C285" t="str">
        <f>"21216"</f>
        <v>21216</v>
      </c>
      <c r="D285" t="str">
        <f>"2406 "</f>
        <v xml:space="preserve">2406 </v>
      </c>
      <c r="E285" t="str">
        <f>"061 "</f>
        <v xml:space="preserve">061 </v>
      </c>
      <c r="F285" t="s">
        <v>575</v>
      </c>
      <c r="G285" s="1">
        <v>7000</v>
      </c>
      <c r="H285" t="s">
        <v>14</v>
      </c>
      <c r="I285" t="s">
        <v>34</v>
      </c>
      <c r="J285" s="1">
        <v>139737.24</v>
      </c>
    </row>
    <row r="286" spans="1:10" x14ac:dyDescent="0.25">
      <c r="A286" t="str">
        <f t="shared" si="20"/>
        <v>07/20/20</v>
      </c>
      <c r="B286" t="s">
        <v>576</v>
      </c>
      <c r="C286" t="str">
        <f>"21216"</f>
        <v>21216</v>
      </c>
      <c r="D286" t="str">
        <f>"2386 "</f>
        <v xml:space="preserve">2386 </v>
      </c>
      <c r="E286" t="str">
        <f>"028 "</f>
        <v xml:space="preserve">028 </v>
      </c>
      <c r="F286" t="s">
        <v>577</v>
      </c>
      <c r="G286" s="1">
        <v>15000</v>
      </c>
      <c r="H286" t="s">
        <v>14</v>
      </c>
      <c r="I286" t="s">
        <v>15</v>
      </c>
      <c r="J286" s="1">
        <v>54039.58</v>
      </c>
    </row>
    <row r="287" spans="1:10" x14ac:dyDescent="0.25">
      <c r="A287" t="str">
        <f t="shared" si="20"/>
        <v>07/20/20</v>
      </c>
      <c r="B287" t="s">
        <v>578</v>
      </c>
      <c r="C287" t="str">
        <f>"21223"</f>
        <v>21223</v>
      </c>
      <c r="D287" t="str">
        <f>"2142 "</f>
        <v xml:space="preserve">2142 </v>
      </c>
      <c r="E287" t="str">
        <f>"050 "</f>
        <v xml:space="preserve">050 </v>
      </c>
      <c r="F287" t="s">
        <v>579</v>
      </c>
      <c r="G287" s="1">
        <v>5000</v>
      </c>
      <c r="H287" t="s">
        <v>33</v>
      </c>
      <c r="I287" t="s">
        <v>34</v>
      </c>
      <c r="J287" s="1">
        <v>6463.9</v>
      </c>
    </row>
    <row r="288" spans="1:10" x14ac:dyDescent="0.25">
      <c r="A288" t="str">
        <f t="shared" si="20"/>
        <v>07/20/20</v>
      </c>
      <c r="B288" t="s">
        <v>580</v>
      </c>
      <c r="C288" t="str">
        <f>"21223"</f>
        <v>21223</v>
      </c>
      <c r="D288" t="str">
        <f>"2141 "</f>
        <v xml:space="preserve">2141 </v>
      </c>
      <c r="E288" t="str">
        <f>"032 "</f>
        <v xml:space="preserve">032 </v>
      </c>
      <c r="F288" t="s">
        <v>581</v>
      </c>
      <c r="G288" s="1">
        <v>5000</v>
      </c>
      <c r="H288" t="s">
        <v>33</v>
      </c>
      <c r="I288" t="s">
        <v>34</v>
      </c>
      <c r="J288" s="1">
        <v>36937.410000000003</v>
      </c>
    </row>
    <row r="289" spans="1:10" x14ac:dyDescent="0.25">
      <c r="A289" t="str">
        <f t="shared" si="20"/>
        <v>07/20/20</v>
      </c>
      <c r="B289" t="s">
        <v>582</v>
      </c>
      <c r="C289" t="str">
        <f>"21218"</f>
        <v>21218</v>
      </c>
      <c r="D289" t="str">
        <f>"3913 "</f>
        <v xml:space="preserve">3913 </v>
      </c>
      <c r="E289" t="str">
        <f>"082 "</f>
        <v xml:space="preserve">082 </v>
      </c>
      <c r="F289" t="s">
        <v>583</v>
      </c>
      <c r="G289" s="1">
        <v>114800</v>
      </c>
      <c r="H289" t="s">
        <v>30</v>
      </c>
      <c r="I289" t="s">
        <v>15</v>
      </c>
      <c r="J289" s="1">
        <v>49080.26</v>
      </c>
    </row>
    <row r="290" spans="1:10" x14ac:dyDescent="0.25">
      <c r="A290" t="str">
        <f t="shared" si="20"/>
        <v>07/20/20</v>
      </c>
      <c r="B290" t="s">
        <v>584</v>
      </c>
      <c r="C290" t="str">
        <f>"21213"</f>
        <v>21213</v>
      </c>
      <c r="D290" t="str">
        <f>"1467 "</f>
        <v xml:space="preserve">1467 </v>
      </c>
      <c r="E290" t="str">
        <f>"067 "</f>
        <v xml:space="preserve">067 </v>
      </c>
      <c r="F290" t="s">
        <v>585</v>
      </c>
      <c r="G290" s="1">
        <v>1000</v>
      </c>
      <c r="H290" t="s">
        <v>33</v>
      </c>
      <c r="I290" t="s">
        <v>15</v>
      </c>
      <c r="J290" s="1">
        <v>55067.43</v>
      </c>
    </row>
    <row r="291" spans="1:10" x14ac:dyDescent="0.25">
      <c r="A291" t="str">
        <f t="shared" si="20"/>
        <v>07/20/20</v>
      </c>
      <c r="B291" t="s">
        <v>586</v>
      </c>
      <c r="C291" t="str">
        <f>"21213"</f>
        <v>21213</v>
      </c>
      <c r="D291" t="str">
        <f>"1467 "</f>
        <v xml:space="preserve">1467 </v>
      </c>
      <c r="E291" t="str">
        <f>"060 "</f>
        <v xml:space="preserve">060 </v>
      </c>
      <c r="F291" t="s">
        <v>587</v>
      </c>
      <c r="G291" s="1">
        <v>1000</v>
      </c>
      <c r="H291" t="s">
        <v>33</v>
      </c>
      <c r="I291" t="s">
        <v>15</v>
      </c>
      <c r="J291" s="1">
        <v>38910.800000000003</v>
      </c>
    </row>
    <row r="292" spans="1:10" x14ac:dyDescent="0.25">
      <c r="A292" t="str">
        <f t="shared" si="20"/>
        <v>07/20/20</v>
      </c>
      <c r="B292" t="s">
        <v>588</v>
      </c>
      <c r="C292" t="str">
        <f>"21213"</f>
        <v>21213</v>
      </c>
      <c r="D292" t="str">
        <f>"1467 "</f>
        <v xml:space="preserve">1467 </v>
      </c>
      <c r="E292" t="str">
        <f>"065 "</f>
        <v xml:space="preserve">065 </v>
      </c>
      <c r="F292" t="s">
        <v>589</v>
      </c>
      <c r="G292" s="1">
        <v>1000</v>
      </c>
      <c r="H292" t="s">
        <v>33</v>
      </c>
      <c r="I292" t="s">
        <v>15</v>
      </c>
      <c r="J292" s="1">
        <v>66367.149999999994</v>
      </c>
    </row>
    <row r="293" spans="1:10" x14ac:dyDescent="0.25">
      <c r="A293" t="str">
        <f t="shared" si="20"/>
        <v>07/20/20</v>
      </c>
      <c r="B293" t="s">
        <v>590</v>
      </c>
      <c r="C293" t="str">
        <f>"21223"</f>
        <v>21223</v>
      </c>
      <c r="D293" t="str">
        <f>"0701 "</f>
        <v xml:space="preserve">0701 </v>
      </c>
      <c r="E293" t="str">
        <f>"013 "</f>
        <v xml:space="preserve">013 </v>
      </c>
      <c r="F293" t="s">
        <v>591</v>
      </c>
      <c r="G293" s="1">
        <v>15000</v>
      </c>
      <c r="H293" t="s">
        <v>33</v>
      </c>
      <c r="I293" t="s">
        <v>15</v>
      </c>
      <c r="J293" s="1">
        <v>10913.8</v>
      </c>
    </row>
    <row r="294" spans="1:10" x14ac:dyDescent="0.25">
      <c r="A294" t="str">
        <f t="shared" si="20"/>
        <v>07/20/20</v>
      </c>
      <c r="B294" t="s">
        <v>592</v>
      </c>
      <c r="C294" t="str">
        <f>"21223"</f>
        <v>21223</v>
      </c>
      <c r="D294" t="str">
        <f>"0719A"</f>
        <v>0719A</v>
      </c>
      <c r="E294" t="str">
        <f>"059 "</f>
        <v xml:space="preserve">059 </v>
      </c>
      <c r="F294" t="s">
        <v>593</v>
      </c>
      <c r="G294" s="1">
        <v>15000</v>
      </c>
      <c r="H294" t="s">
        <v>33</v>
      </c>
      <c r="I294" t="s">
        <v>15</v>
      </c>
      <c r="J294" s="1">
        <v>18621.580000000002</v>
      </c>
    </row>
    <row r="295" spans="1:10" x14ac:dyDescent="0.25">
      <c r="A295" t="str">
        <f t="shared" si="20"/>
        <v>07/20/20</v>
      </c>
      <c r="B295" t="s">
        <v>594</v>
      </c>
      <c r="C295" t="str">
        <f>"21223"</f>
        <v>21223</v>
      </c>
      <c r="D295" t="str">
        <f>"0711 "</f>
        <v xml:space="preserve">0711 </v>
      </c>
      <c r="E295" t="str">
        <f>"025 "</f>
        <v xml:space="preserve">025 </v>
      </c>
      <c r="F295" t="s">
        <v>595</v>
      </c>
      <c r="G295" s="1">
        <v>6300</v>
      </c>
      <c r="H295" t="s">
        <v>33</v>
      </c>
      <c r="I295" t="s">
        <v>15</v>
      </c>
      <c r="J295" s="1">
        <v>46104.800000000003</v>
      </c>
    </row>
    <row r="296" spans="1:10" x14ac:dyDescent="0.25">
      <c r="A296" t="str">
        <f t="shared" si="20"/>
        <v>07/20/20</v>
      </c>
      <c r="B296" t="s">
        <v>596</v>
      </c>
      <c r="C296" t="str">
        <f>"21223"</f>
        <v>21223</v>
      </c>
      <c r="D296" t="str">
        <f>"0702 "</f>
        <v xml:space="preserve">0702 </v>
      </c>
      <c r="E296" t="str">
        <f>"010 "</f>
        <v xml:space="preserve">010 </v>
      </c>
      <c r="F296" t="s">
        <v>597</v>
      </c>
      <c r="G296" s="1">
        <v>15000</v>
      </c>
      <c r="H296" t="s">
        <v>33</v>
      </c>
      <c r="I296" t="s">
        <v>34</v>
      </c>
      <c r="J296" s="1">
        <v>13319.83</v>
      </c>
    </row>
    <row r="297" spans="1:10" x14ac:dyDescent="0.25">
      <c r="A297" t="str">
        <f t="shared" si="20"/>
        <v>07/20/20</v>
      </c>
      <c r="B297" t="s">
        <v>598</v>
      </c>
      <c r="C297" t="str">
        <f>"21223"</f>
        <v>21223</v>
      </c>
      <c r="D297" t="str">
        <f>"0719A"</f>
        <v>0719A</v>
      </c>
      <c r="E297" t="str">
        <f>"066 "</f>
        <v xml:space="preserve">066 </v>
      </c>
      <c r="F297" t="s">
        <v>599</v>
      </c>
      <c r="G297" s="1">
        <v>1000</v>
      </c>
      <c r="H297" t="s">
        <v>33</v>
      </c>
      <c r="I297" t="s">
        <v>15</v>
      </c>
      <c r="J297" s="1">
        <v>240692.74</v>
      </c>
    </row>
    <row r="298" spans="1:10" x14ac:dyDescent="0.25">
      <c r="A298" t="str">
        <f t="shared" si="20"/>
        <v>07/20/20</v>
      </c>
      <c r="B298" t="s">
        <v>600</v>
      </c>
      <c r="C298" t="str">
        <f>"21224"</f>
        <v>21224</v>
      </c>
      <c r="D298" t="str">
        <f>"6159 "</f>
        <v xml:space="preserve">6159 </v>
      </c>
      <c r="E298" t="str">
        <f>"046 "</f>
        <v xml:space="preserve">046 </v>
      </c>
      <c r="F298" t="s">
        <v>601</v>
      </c>
      <c r="G298" s="1">
        <v>14500</v>
      </c>
      <c r="H298" t="s">
        <v>33</v>
      </c>
      <c r="I298" t="s">
        <v>34</v>
      </c>
      <c r="J298" s="1">
        <v>8574.93</v>
      </c>
    </row>
    <row r="299" spans="1:10" x14ac:dyDescent="0.25">
      <c r="A299" t="str">
        <f t="shared" si="20"/>
        <v>07/20/20</v>
      </c>
      <c r="B299" t="s">
        <v>602</v>
      </c>
      <c r="C299" t="str">
        <f>"21223"</f>
        <v>21223</v>
      </c>
      <c r="D299" t="str">
        <f>"2138 "</f>
        <v xml:space="preserve">2138 </v>
      </c>
      <c r="E299" t="str">
        <f>"030L"</f>
        <v>030L</v>
      </c>
      <c r="F299" t="s">
        <v>603</v>
      </c>
      <c r="G299" s="1">
        <v>19000</v>
      </c>
      <c r="H299" t="s">
        <v>33</v>
      </c>
      <c r="I299" t="s">
        <v>15</v>
      </c>
      <c r="J299" s="1">
        <v>22030.02</v>
      </c>
    </row>
    <row r="300" spans="1:10" x14ac:dyDescent="0.25">
      <c r="A300" t="str">
        <f t="shared" si="20"/>
        <v>07/20/20</v>
      </c>
      <c r="B300" t="s">
        <v>604</v>
      </c>
      <c r="C300" t="str">
        <f>"21213"</f>
        <v>21213</v>
      </c>
      <c r="D300" t="str">
        <f>"1161 "</f>
        <v xml:space="preserve">1161 </v>
      </c>
      <c r="E300" t="str">
        <f>"036 "</f>
        <v xml:space="preserve">036 </v>
      </c>
      <c r="F300" t="s">
        <v>605</v>
      </c>
      <c r="G300" s="1">
        <v>1000</v>
      </c>
      <c r="H300" t="s">
        <v>33</v>
      </c>
      <c r="I300" t="s">
        <v>15</v>
      </c>
      <c r="J300" s="1">
        <v>1826.43</v>
      </c>
    </row>
    <row r="301" spans="1:10" x14ac:dyDescent="0.25">
      <c r="A301" t="str">
        <f t="shared" si="20"/>
        <v>07/20/20</v>
      </c>
      <c r="B301" t="s">
        <v>606</v>
      </c>
      <c r="C301" t="str">
        <f>"21215"</f>
        <v>21215</v>
      </c>
      <c r="D301" t="str">
        <f>"4813B"</f>
        <v>4813B</v>
      </c>
      <c r="E301" t="str">
        <f>"038D"</f>
        <v>038D</v>
      </c>
      <c r="F301" t="s">
        <v>607</v>
      </c>
      <c r="G301" s="1">
        <v>19000</v>
      </c>
      <c r="H301" t="s">
        <v>14</v>
      </c>
      <c r="I301" t="s">
        <v>15</v>
      </c>
      <c r="J301" s="1">
        <v>9240.2199999999993</v>
      </c>
    </row>
    <row r="302" spans="1:10" x14ac:dyDescent="0.25">
      <c r="A302" t="str">
        <f t="shared" si="20"/>
        <v>07/20/20</v>
      </c>
      <c r="B302" t="s">
        <v>608</v>
      </c>
      <c r="C302" t="str">
        <f>"21215"</f>
        <v>21215</v>
      </c>
      <c r="D302" t="str">
        <f>"4604A"</f>
        <v>4604A</v>
      </c>
      <c r="E302" t="str">
        <f>"027 "</f>
        <v xml:space="preserve">027 </v>
      </c>
      <c r="F302" t="s">
        <v>609</v>
      </c>
      <c r="G302" s="1">
        <v>65100</v>
      </c>
      <c r="H302" t="s">
        <v>14</v>
      </c>
      <c r="I302" t="s">
        <v>15</v>
      </c>
      <c r="J302" s="1">
        <v>61621.279999999999</v>
      </c>
    </row>
    <row r="303" spans="1:10" x14ac:dyDescent="0.25">
      <c r="A303" t="str">
        <f t="shared" si="20"/>
        <v>07/20/20</v>
      </c>
      <c r="B303" t="s">
        <v>610</v>
      </c>
      <c r="C303" t="str">
        <f>"21215"</f>
        <v>21215</v>
      </c>
      <c r="D303" t="str">
        <f>"4605A"</f>
        <v>4605A</v>
      </c>
      <c r="E303" t="str">
        <f>"005A"</f>
        <v>005A</v>
      </c>
      <c r="F303" t="s">
        <v>611</v>
      </c>
      <c r="G303" s="1">
        <v>30000</v>
      </c>
      <c r="H303" t="s">
        <v>14</v>
      </c>
      <c r="I303" t="s">
        <v>15</v>
      </c>
      <c r="J303" s="1">
        <v>44602.98</v>
      </c>
    </row>
    <row r="304" spans="1:10" x14ac:dyDescent="0.25">
      <c r="A304" t="str">
        <f t="shared" si="20"/>
        <v>07/20/20</v>
      </c>
      <c r="B304" t="s">
        <v>612</v>
      </c>
      <c r="C304" t="str">
        <f>"21215"</f>
        <v>21215</v>
      </c>
      <c r="D304" t="str">
        <f>"4605A"</f>
        <v>4605A</v>
      </c>
      <c r="E304" t="str">
        <f>"021A"</f>
        <v>021A</v>
      </c>
      <c r="F304" t="s">
        <v>613</v>
      </c>
      <c r="G304" s="1">
        <v>30000</v>
      </c>
      <c r="H304" t="s">
        <v>14</v>
      </c>
      <c r="I304" t="s">
        <v>15</v>
      </c>
      <c r="J304" s="1">
        <v>84813.119999999995</v>
      </c>
    </row>
    <row r="305" spans="1:10" x14ac:dyDescent="0.25">
      <c r="A305" t="str">
        <f t="shared" si="20"/>
        <v>07/20/20</v>
      </c>
      <c r="B305" t="s">
        <v>614</v>
      </c>
      <c r="C305" t="str">
        <f>"21229"</f>
        <v>21229</v>
      </c>
      <c r="D305" t="str">
        <f>"2284 "</f>
        <v xml:space="preserve">2284 </v>
      </c>
      <c r="E305" t="str">
        <f>"014 "</f>
        <v xml:space="preserve">014 </v>
      </c>
      <c r="F305" t="s">
        <v>615</v>
      </c>
      <c r="G305" s="1">
        <v>78500</v>
      </c>
      <c r="H305" t="s">
        <v>30</v>
      </c>
      <c r="I305" t="s">
        <v>34</v>
      </c>
      <c r="J305" s="1">
        <v>49207.6</v>
      </c>
    </row>
    <row r="306" spans="1:10" x14ac:dyDescent="0.25">
      <c r="A306" t="str">
        <f t="shared" si="20"/>
        <v>07/20/20</v>
      </c>
      <c r="B306" t="s">
        <v>616</v>
      </c>
      <c r="C306" t="str">
        <f>"21223"</f>
        <v>21223</v>
      </c>
      <c r="D306" t="str">
        <f>"2377C"</f>
        <v>2377C</v>
      </c>
      <c r="E306" t="str">
        <f>"004 "</f>
        <v xml:space="preserve">004 </v>
      </c>
      <c r="F306" t="s">
        <v>617</v>
      </c>
      <c r="G306" s="1">
        <v>7000</v>
      </c>
      <c r="H306" t="s">
        <v>30</v>
      </c>
      <c r="I306" t="s">
        <v>34</v>
      </c>
      <c r="J306" s="1">
        <v>14720.62</v>
      </c>
    </row>
    <row r="307" spans="1:10" x14ac:dyDescent="0.25">
      <c r="A307" t="str">
        <f t="shared" si="20"/>
        <v>07/20/20</v>
      </c>
      <c r="B307" t="s">
        <v>618</v>
      </c>
      <c r="C307" t="str">
        <f>"21229"</f>
        <v>21229</v>
      </c>
      <c r="D307" t="str">
        <f>"2283 "</f>
        <v xml:space="preserve">2283 </v>
      </c>
      <c r="E307" t="str">
        <f>"004 "</f>
        <v xml:space="preserve">004 </v>
      </c>
      <c r="F307" t="s">
        <v>619</v>
      </c>
      <c r="G307" s="1">
        <v>15800</v>
      </c>
      <c r="H307" t="s">
        <v>30</v>
      </c>
      <c r="I307" t="s">
        <v>34</v>
      </c>
      <c r="J307" s="1">
        <v>3740.75</v>
      </c>
    </row>
    <row r="308" spans="1:10" x14ac:dyDescent="0.25">
      <c r="A308" t="str">
        <f t="shared" si="20"/>
        <v>07/20/20</v>
      </c>
      <c r="B308" t="s">
        <v>620</v>
      </c>
      <c r="C308" t="str">
        <f t="shared" ref="C308:C333" si="22">"21223"</f>
        <v>21223</v>
      </c>
      <c r="D308" t="str">
        <f>"2377E"</f>
        <v>2377E</v>
      </c>
      <c r="E308" t="str">
        <f>"013 "</f>
        <v xml:space="preserve">013 </v>
      </c>
      <c r="F308" t="s">
        <v>621</v>
      </c>
      <c r="G308" s="1">
        <v>64400</v>
      </c>
      <c r="H308" t="s">
        <v>30</v>
      </c>
      <c r="I308" t="s">
        <v>15</v>
      </c>
      <c r="J308" s="1">
        <v>11879.81</v>
      </c>
    </row>
    <row r="309" spans="1:10" x14ac:dyDescent="0.25">
      <c r="A309" t="str">
        <f t="shared" si="20"/>
        <v>07/20/20</v>
      </c>
      <c r="B309" t="s">
        <v>622</v>
      </c>
      <c r="C309" t="str">
        <f t="shared" si="22"/>
        <v>21223</v>
      </c>
      <c r="D309" t="str">
        <f>"2377C"</f>
        <v>2377C</v>
      </c>
      <c r="E309" t="str">
        <f>"024 "</f>
        <v xml:space="preserve">024 </v>
      </c>
      <c r="F309" t="s">
        <v>623</v>
      </c>
      <c r="G309" s="1">
        <v>7000</v>
      </c>
      <c r="H309" t="s">
        <v>30</v>
      </c>
      <c r="I309" t="s">
        <v>34</v>
      </c>
      <c r="J309" s="1">
        <v>8515</v>
      </c>
    </row>
    <row r="310" spans="1:10" x14ac:dyDescent="0.25">
      <c r="A310" t="str">
        <f t="shared" si="20"/>
        <v>07/20/20</v>
      </c>
      <c r="B310" t="s">
        <v>624</v>
      </c>
      <c r="C310" t="str">
        <f t="shared" si="22"/>
        <v>21223</v>
      </c>
      <c r="D310" t="str">
        <f>"2206B"</f>
        <v>2206B</v>
      </c>
      <c r="E310" t="str">
        <f>"015 "</f>
        <v xml:space="preserve">015 </v>
      </c>
      <c r="F310" t="s">
        <v>625</v>
      </c>
      <c r="G310" s="1">
        <v>11900</v>
      </c>
      <c r="H310" t="s">
        <v>30</v>
      </c>
      <c r="I310" t="s">
        <v>34</v>
      </c>
      <c r="J310" s="1">
        <v>15966.4</v>
      </c>
    </row>
    <row r="311" spans="1:10" x14ac:dyDescent="0.25">
      <c r="A311" t="str">
        <f t="shared" si="20"/>
        <v>07/20/20</v>
      </c>
      <c r="B311" t="s">
        <v>626</v>
      </c>
      <c r="C311" t="str">
        <f t="shared" si="22"/>
        <v>21223</v>
      </c>
      <c r="D311" t="str">
        <f>"2206A"</f>
        <v>2206A</v>
      </c>
      <c r="E311" t="str">
        <f>"011 "</f>
        <v xml:space="preserve">011 </v>
      </c>
      <c r="F311" t="s">
        <v>627</v>
      </c>
      <c r="G311" s="1">
        <v>11700</v>
      </c>
      <c r="H311" t="s">
        <v>30</v>
      </c>
      <c r="I311" t="s">
        <v>34</v>
      </c>
      <c r="J311" s="1">
        <v>19911.22</v>
      </c>
    </row>
    <row r="312" spans="1:10" x14ac:dyDescent="0.25">
      <c r="A312" t="str">
        <f t="shared" si="20"/>
        <v>07/20/20</v>
      </c>
      <c r="B312" t="s">
        <v>628</v>
      </c>
      <c r="C312" t="str">
        <f t="shared" si="22"/>
        <v>21223</v>
      </c>
      <c r="D312" t="str">
        <f>"2206A"</f>
        <v>2206A</v>
      </c>
      <c r="E312" t="str">
        <f>"017 "</f>
        <v xml:space="preserve">017 </v>
      </c>
      <c r="F312" t="s">
        <v>629</v>
      </c>
      <c r="G312" s="1">
        <v>11900</v>
      </c>
      <c r="H312" t="s">
        <v>30</v>
      </c>
      <c r="I312" t="s">
        <v>34</v>
      </c>
      <c r="J312" s="1">
        <v>18866.740000000002</v>
      </c>
    </row>
    <row r="313" spans="1:10" x14ac:dyDescent="0.25">
      <c r="A313" t="str">
        <f t="shared" si="20"/>
        <v>07/20/20</v>
      </c>
      <c r="B313" t="s">
        <v>630</v>
      </c>
      <c r="C313" t="str">
        <f t="shared" si="22"/>
        <v>21223</v>
      </c>
      <c r="D313" t="str">
        <f>"2475 "</f>
        <v xml:space="preserve">2475 </v>
      </c>
      <c r="E313" t="str">
        <f>"008 "</f>
        <v xml:space="preserve">008 </v>
      </c>
      <c r="F313" t="s">
        <v>294</v>
      </c>
      <c r="G313" s="1">
        <v>58700</v>
      </c>
      <c r="H313" t="s">
        <v>14</v>
      </c>
      <c r="I313" t="s">
        <v>34</v>
      </c>
      <c r="J313" s="1">
        <v>36427.269999999997</v>
      </c>
    </row>
    <row r="314" spans="1:10" x14ac:dyDescent="0.25">
      <c r="A314" t="str">
        <f t="shared" si="20"/>
        <v>07/20/20</v>
      </c>
      <c r="B314" t="s">
        <v>631</v>
      </c>
      <c r="C314" t="str">
        <f t="shared" si="22"/>
        <v>21223</v>
      </c>
      <c r="D314" t="str">
        <f>"2475 "</f>
        <v xml:space="preserve">2475 </v>
      </c>
      <c r="E314" t="str">
        <f>"009 "</f>
        <v xml:space="preserve">009 </v>
      </c>
      <c r="F314" t="s">
        <v>71</v>
      </c>
      <c r="G314" s="1">
        <v>19700</v>
      </c>
      <c r="H314" t="s">
        <v>14</v>
      </c>
      <c r="I314" t="s">
        <v>34</v>
      </c>
      <c r="J314" s="1">
        <v>115198.28</v>
      </c>
    </row>
    <row r="315" spans="1:10" x14ac:dyDescent="0.25">
      <c r="A315" t="str">
        <f t="shared" si="20"/>
        <v>07/20/20</v>
      </c>
      <c r="B315" t="s">
        <v>632</v>
      </c>
      <c r="C315" t="str">
        <f t="shared" si="22"/>
        <v>21223</v>
      </c>
      <c r="D315" t="str">
        <f>"2475 "</f>
        <v xml:space="preserve">2475 </v>
      </c>
      <c r="E315" t="str">
        <f>"016 "</f>
        <v xml:space="preserve">016 </v>
      </c>
      <c r="F315" t="s">
        <v>633</v>
      </c>
      <c r="G315" s="1">
        <v>65600</v>
      </c>
      <c r="H315" t="s">
        <v>14</v>
      </c>
      <c r="I315" t="s">
        <v>15</v>
      </c>
      <c r="J315" s="1">
        <v>14160.89</v>
      </c>
    </row>
    <row r="316" spans="1:10" x14ac:dyDescent="0.25">
      <c r="A316" t="str">
        <f t="shared" si="20"/>
        <v>07/20/20</v>
      </c>
      <c r="B316" t="s">
        <v>634</v>
      </c>
      <c r="C316" t="str">
        <f t="shared" si="22"/>
        <v>21223</v>
      </c>
      <c r="D316" t="str">
        <f>"0108 "</f>
        <v xml:space="preserve">0108 </v>
      </c>
      <c r="E316" t="str">
        <f>"042 "</f>
        <v xml:space="preserve">042 </v>
      </c>
      <c r="F316" t="s">
        <v>635</v>
      </c>
      <c r="G316" s="1">
        <v>1000</v>
      </c>
      <c r="H316" t="s">
        <v>33</v>
      </c>
      <c r="I316" t="s">
        <v>15</v>
      </c>
      <c r="J316" s="1">
        <v>87408.12</v>
      </c>
    </row>
    <row r="317" spans="1:10" x14ac:dyDescent="0.25">
      <c r="A317" t="str">
        <f t="shared" si="20"/>
        <v>07/20/20</v>
      </c>
      <c r="B317" t="s">
        <v>636</v>
      </c>
      <c r="C317" t="str">
        <f t="shared" si="22"/>
        <v>21223</v>
      </c>
      <c r="D317" t="str">
        <f>"0107 "</f>
        <v xml:space="preserve">0107 </v>
      </c>
      <c r="E317" t="str">
        <f>"062 "</f>
        <v xml:space="preserve">062 </v>
      </c>
      <c r="F317" t="s">
        <v>637</v>
      </c>
      <c r="G317" s="1">
        <v>1000</v>
      </c>
      <c r="H317" t="s">
        <v>142</v>
      </c>
      <c r="I317" t="s">
        <v>15</v>
      </c>
      <c r="J317" s="1">
        <v>10294.06</v>
      </c>
    </row>
    <row r="318" spans="1:10" x14ac:dyDescent="0.25">
      <c r="A318" t="str">
        <f t="shared" si="20"/>
        <v>07/20/20</v>
      </c>
      <c r="B318" t="s">
        <v>638</v>
      </c>
      <c r="C318" t="str">
        <f t="shared" si="22"/>
        <v>21223</v>
      </c>
      <c r="D318" t="str">
        <f>"0118 "</f>
        <v xml:space="preserve">0118 </v>
      </c>
      <c r="E318" t="str">
        <f>"031 "</f>
        <v xml:space="preserve">031 </v>
      </c>
      <c r="F318" t="s">
        <v>639</v>
      </c>
      <c r="G318" s="1">
        <v>7000</v>
      </c>
      <c r="H318" t="s">
        <v>142</v>
      </c>
      <c r="I318" t="s">
        <v>34</v>
      </c>
      <c r="J318" s="1">
        <v>22109.3</v>
      </c>
    </row>
    <row r="319" spans="1:10" x14ac:dyDescent="0.25">
      <c r="A319" t="str">
        <f t="shared" si="20"/>
        <v>07/20/20</v>
      </c>
      <c r="B319" t="s">
        <v>640</v>
      </c>
      <c r="C319" t="str">
        <f t="shared" si="22"/>
        <v>21223</v>
      </c>
      <c r="D319" t="str">
        <f>"0118 "</f>
        <v xml:space="preserve">0118 </v>
      </c>
      <c r="E319" t="str">
        <f>"029 "</f>
        <v xml:space="preserve">029 </v>
      </c>
      <c r="F319" t="s">
        <v>641</v>
      </c>
      <c r="G319" s="1">
        <v>7000</v>
      </c>
      <c r="H319" t="s">
        <v>142</v>
      </c>
      <c r="I319" t="s">
        <v>34</v>
      </c>
      <c r="J319" s="1">
        <v>71642.39</v>
      </c>
    </row>
    <row r="320" spans="1:10" x14ac:dyDescent="0.25">
      <c r="A320" t="str">
        <f t="shared" si="20"/>
        <v>07/20/20</v>
      </c>
      <c r="B320" t="s">
        <v>642</v>
      </c>
      <c r="C320" t="str">
        <f t="shared" si="22"/>
        <v>21223</v>
      </c>
      <c r="D320" t="str">
        <f>"0108 "</f>
        <v xml:space="preserve">0108 </v>
      </c>
      <c r="E320" t="str">
        <f>"041 "</f>
        <v xml:space="preserve">041 </v>
      </c>
      <c r="F320" t="s">
        <v>643</v>
      </c>
      <c r="G320" s="1">
        <v>1000</v>
      </c>
      <c r="H320" t="s">
        <v>33</v>
      </c>
      <c r="I320" t="s">
        <v>15</v>
      </c>
      <c r="J320" s="1">
        <v>107351.12</v>
      </c>
    </row>
    <row r="321" spans="1:10" x14ac:dyDescent="0.25">
      <c r="A321" t="str">
        <f t="shared" si="20"/>
        <v>07/20/20</v>
      </c>
      <c r="B321" t="s">
        <v>644</v>
      </c>
      <c r="C321" t="str">
        <f t="shared" si="22"/>
        <v>21223</v>
      </c>
      <c r="D321" t="str">
        <f>"0106 "</f>
        <v xml:space="preserve">0106 </v>
      </c>
      <c r="E321" t="str">
        <f>"005 "</f>
        <v xml:space="preserve">005 </v>
      </c>
      <c r="F321" t="s">
        <v>645</v>
      </c>
      <c r="G321" s="1">
        <v>2100</v>
      </c>
      <c r="H321" t="s">
        <v>142</v>
      </c>
      <c r="I321" t="s">
        <v>15</v>
      </c>
      <c r="J321" s="1">
        <v>9637.59</v>
      </c>
    </row>
    <row r="322" spans="1:10" x14ac:dyDescent="0.25">
      <c r="A322" t="str">
        <f t="shared" si="20"/>
        <v>07/20/20</v>
      </c>
      <c r="B322" t="s">
        <v>646</v>
      </c>
      <c r="C322" t="str">
        <f t="shared" si="22"/>
        <v>21223</v>
      </c>
      <c r="D322" t="str">
        <f>"0106 "</f>
        <v xml:space="preserve">0106 </v>
      </c>
      <c r="E322" t="str">
        <f>"017 "</f>
        <v xml:space="preserve">017 </v>
      </c>
      <c r="F322" t="s">
        <v>647</v>
      </c>
      <c r="G322" s="1">
        <v>14100</v>
      </c>
      <c r="H322" t="s">
        <v>142</v>
      </c>
      <c r="I322" t="s">
        <v>15</v>
      </c>
      <c r="J322" s="1">
        <v>64663.95</v>
      </c>
    </row>
    <row r="323" spans="1:10" x14ac:dyDescent="0.25">
      <c r="A323" t="str">
        <f t="shared" ref="A323:A386" si="23">"07/20/20"</f>
        <v>07/20/20</v>
      </c>
      <c r="B323" t="s">
        <v>648</v>
      </c>
      <c r="C323" t="str">
        <f t="shared" si="22"/>
        <v>21223</v>
      </c>
      <c r="D323" t="str">
        <f>"0108 "</f>
        <v xml:space="preserve">0108 </v>
      </c>
      <c r="E323" t="str">
        <f>"045 "</f>
        <v xml:space="preserve">045 </v>
      </c>
      <c r="F323" t="s">
        <v>649</v>
      </c>
      <c r="G323" s="1">
        <v>17000</v>
      </c>
      <c r="H323" t="s">
        <v>33</v>
      </c>
      <c r="I323" t="s">
        <v>15</v>
      </c>
      <c r="J323" s="1">
        <v>42963.88</v>
      </c>
    </row>
    <row r="324" spans="1:10" x14ac:dyDescent="0.25">
      <c r="A324" t="str">
        <f t="shared" si="23"/>
        <v>07/20/20</v>
      </c>
      <c r="B324" t="s">
        <v>650</v>
      </c>
      <c r="C324" t="str">
        <f t="shared" si="22"/>
        <v>21223</v>
      </c>
      <c r="D324" t="str">
        <f>"0106 "</f>
        <v xml:space="preserve">0106 </v>
      </c>
      <c r="E324" t="str">
        <f>"013 "</f>
        <v xml:space="preserve">013 </v>
      </c>
      <c r="F324" t="s">
        <v>651</v>
      </c>
      <c r="G324" s="1">
        <v>40000</v>
      </c>
      <c r="H324" t="s">
        <v>142</v>
      </c>
      <c r="I324" t="s">
        <v>15</v>
      </c>
      <c r="J324" s="1">
        <v>37790.82</v>
      </c>
    </row>
    <row r="325" spans="1:10" x14ac:dyDescent="0.25">
      <c r="A325" t="str">
        <f t="shared" si="23"/>
        <v>07/20/20</v>
      </c>
      <c r="B325" t="s">
        <v>652</v>
      </c>
      <c r="C325" t="str">
        <f t="shared" si="22"/>
        <v>21223</v>
      </c>
      <c r="D325" t="str">
        <f>"0106 "</f>
        <v xml:space="preserve">0106 </v>
      </c>
      <c r="E325" t="str">
        <f>"007 "</f>
        <v xml:space="preserve">007 </v>
      </c>
      <c r="F325" t="s">
        <v>653</v>
      </c>
      <c r="G325" s="1">
        <v>2900</v>
      </c>
      <c r="H325" t="s">
        <v>142</v>
      </c>
      <c r="I325" t="s">
        <v>15</v>
      </c>
      <c r="J325" s="1">
        <v>12353.93</v>
      </c>
    </row>
    <row r="326" spans="1:10" x14ac:dyDescent="0.25">
      <c r="A326" t="str">
        <f t="shared" si="23"/>
        <v>07/20/20</v>
      </c>
      <c r="B326" t="s">
        <v>654</v>
      </c>
      <c r="C326" t="str">
        <f t="shared" si="22"/>
        <v>21223</v>
      </c>
      <c r="D326" t="str">
        <f>"0106 "</f>
        <v xml:space="preserve">0106 </v>
      </c>
      <c r="E326" t="str">
        <f>"006 "</f>
        <v xml:space="preserve">006 </v>
      </c>
      <c r="F326" t="s">
        <v>645</v>
      </c>
      <c r="G326" s="1">
        <v>2900</v>
      </c>
      <c r="H326" t="s">
        <v>142</v>
      </c>
      <c r="I326" t="s">
        <v>15</v>
      </c>
      <c r="J326" s="1">
        <v>10363.81</v>
      </c>
    </row>
    <row r="327" spans="1:10" x14ac:dyDescent="0.25">
      <c r="A327" t="str">
        <f t="shared" si="23"/>
        <v>07/20/20</v>
      </c>
      <c r="B327" t="s">
        <v>655</v>
      </c>
      <c r="C327" t="str">
        <f t="shared" si="22"/>
        <v>21223</v>
      </c>
      <c r="D327" t="str">
        <f>"0119 "</f>
        <v xml:space="preserve">0119 </v>
      </c>
      <c r="E327" t="str">
        <f>"039 "</f>
        <v xml:space="preserve">039 </v>
      </c>
      <c r="F327" t="s">
        <v>656</v>
      </c>
      <c r="G327" s="1">
        <v>1000</v>
      </c>
      <c r="H327" t="s">
        <v>142</v>
      </c>
      <c r="I327" t="s">
        <v>15</v>
      </c>
      <c r="J327" s="1">
        <v>96663.45</v>
      </c>
    </row>
    <row r="328" spans="1:10" x14ac:dyDescent="0.25">
      <c r="A328" t="str">
        <f t="shared" si="23"/>
        <v>07/20/20</v>
      </c>
      <c r="B328" t="s">
        <v>657</v>
      </c>
      <c r="C328" t="str">
        <f t="shared" si="22"/>
        <v>21223</v>
      </c>
      <c r="D328" t="str">
        <f>"0106 "</f>
        <v xml:space="preserve">0106 </v>
      </c>
      <c r="E328" t="str">
        <f>"004 "</f>
        <v xml:space="preserve">004 </v>
      </c>
      <c r="F328" t="s">
        <v>645</v>
      </c>
      <c r="G328" s="1">
        <v>2100</v>
      </c>
      <c r="H328" t="s">
        <v>142</v>
      </c>
      <c r="I328" t="s">
        <v>15</v>
      </c>
      <c r="J328" s="1">
        <v>9925.57</v>
      </c>
    </row>
    <row r="329" spans="1:10" x14ac:dyDescent="0.25">
      <c r="A329" t="str">
        <f t="shared" si="23"/>
        <v>07/20/20</v>
      </c>
      <c r="B329" t="s">
        <v>658</v>
      </c>
      <c r="C329" t="str">
        <f t="shared" si="22"/>
        <v>21223</v>
      </c>
      <c r="D329" t="str">
        <f>"0106 "</f>
        <v xml:space="preserve">0106 </v>
      </c>
      <c r="E329" t="str">
        <f>"003 "</f>
        <v xml:space="preserve">003 </v>
      </c>
      <c r="F329" t="s">
        <v>645</v>
      </c>
      <c r="G329" s="1">
        <v>4600</v>
      </c>
      <c r="H329" t="s">
        <v>142</v>
      </c>
      <c r="I329" t="s">
        <v>15</v>
      </c>
      <c r="J329" s="1">
        <v>21393.14</v>
      </c>
    </row>
    <row r="330" spans="1:10" x14ac:dyDescent="0.25">
      <c r="A330" t="str">
        <f t="shared" si="23"/>
        <v>07/20/20</v>
      </c>
      <c r="B330" t="s">
        <v>659</v>
      </c>
      <c r="C330" t="str">
        <f t="shared" si="22"/>
        <v>21223</v>
      </c>
      <c r="D330" t="str">
        <f>"0117 "</f>
        <v xml:space="preserve">0117 </v>
      </c>
      <c r="E330" t="str">
        <f>"027 "</f>
        <v xml:space="preserve">027 </v>
      </c>
      <c r="F330" t="s">
        <v>660</v>
      </c>
      <c r="G330" s="1">
        <v>7000</v>
      </c>
      <c r="H330" t="s">
        <v>661</v>
      </c>
      <c r="I330" t="s">
        <v>34</v>
      </c>
      <c r="J330" s="1">
        <v>9662.8700000000008</v>
      </c>
    </row>
    <row r="331" spans="1:10" x14ac:dyDescent="0.25">
      <c r="A331" t="str">
        <f t="shared" si="23"/>
        <v>07/20/20</v>
      </c>
      <c r="B331" t="s">
        <v>662</v>
      </c>
      <c r="C331" t="str">
        <f t="shared" si="22"/>
        <v>21223</v>
      </c>
      <c r="D331" t="str">
        <f>"0119 "</f>
        <v xml:space="preserve">0119 </v>
      </c>
      <c r="E331" t="str">
        <f>"024 "</f>
        <v xml:space="preserve">024 </v>
      </c>
      <c r="F331" t="s">
        <v>663</v>
      </c>
      <c r="G331" s="1">
        <v>1000</v>
      </c>
      <c r="H331" t="s">
        <v>142</v>
      </c>
      <c r="I331" t="s">
        <v>15</v>
      </c>
      <c r="J331" s="1">
        <v>82162.039999999994</v>
      </c>
    </row>
    <row r="332" spans="1:10" x14ac:dyDescent="0.25">
      <c r="A332" t="str">
        <f t="shared" si="23"/>
        <v>07/20/20</v>
      </c>
      <c r="B332" t="s">
        <v>664</v>
      </c>
      <c r="C332" t="str">
        <f t="shared" si="22"/>
        <v>21223</v>
      </c>
      <c r="D332" t="str">
        <f>"0108 "</f>
        <v xml:space="preserve">0108 </v>
      </c>
      <c r="E332" t="str">
        <f>"038 "</f>
        <v xml:space="preserve">038 </v>
      </c>
      <c r="F332" t="s">
        <v>665</v>
      </c>
      <c r="G332" s="1">
        <v>1000</v>
      </c>
      <c r="H332" t="s">
        <v>33</v>
      </c>
      <c r="I332" t="s">
        <v>15</v>
      </c>
      <c r="J332" s="1">
        <v>56461.34</v>
      </c>
    </row>
    <row r="333" spans="1:10" x14ac:dyDescent="0.25">
      <c r="A333" t="str">
        <f t="shared" si="23"/>
        <v>07/20/20</v>
      </c>
      <c r="B333" t="s">
        <v>666</v>
      </c>
      <c r="C333" t="str">
        <f t="shared" si="22"/>
        <v>21223</v>
      </c>
      <c r="D333" t="str">
        <f>"0107 "</f>
        <v xml:space="preserve">0107 </v>
      </c>
      <c r="E333" t="str">
        <f>"073 "</f>
        <v xml:space="preserve">073 </v>
      </c>
      <c r="F333" t="s">
        <v>667</v>
      </c>
      <c r="G333" s="1">
        <v>5000</v>
      </c>
      <c r="H333" t="s">
        <v>142</v>
      </c>
      <c r="I333" t="s">
        <v>34</v>
      </c>
      <c r="J333" s="1">
        <v>5260.15</v>
      </c>
    </row>
    <row r="334" spans="1:10" x14ac:dyDescent="0.25">
      <c r="A334" t="str">
        <f t="shared" si="23"/>
        <v>07/20/20</v>
      </c>
      <c r="B334" t="s">
        <v>668</v>
      </c>
      <c r="C334" t="str">
        <f>"21218"</f>
        <v>21218</v>
      </c>
      <c r="D334" t="str">
        <f>"3972E"</f>
        <v>3972E</v>
      </c>
      <c r="E334" t="str">
        <f>"105 "</f>
        <v xml:space="preserve">105 </v>
      </c>
      <c r="F334" t="s">
        <v>669</v>
      </c>
      <c r="G334" s="1">
        <v>19300</v>
      </c>
      <c r="H334" t="s">
        <v>74</v>
      </c>
      <c r="I334" t="s">
        <v>15</v>
      </c>
      <c r="J334" s="1">
        <v>14925.77</v>
      </c>
    </row>
    <row r="335" spans="1:10" x14ac:dyDescent="0.25">
      <c r="A335" t="str">
        <f t="shared" si="23"/>
        <v>07/20/20</v>
      </c>
      <c r="B335" t="s">
        <v>670</v>
      </c>
      <c r="C335" t="str">
        <f t="shared" ref="C335:C340" si="24">"21216"</f>
        <v>21216</v>
      </c>
      <c r="D335" t="str">
        <f>"2451 "</f>
        <v xml:space="preserve">2451 </v>
      </c>
      <c r="E335" t="str">
        <f>"032 "</f>
        <v xml:space="preserve">032 </v>
      </c>
      <c r="F335" t="s">
        <v>671</v>
      </c>
      <c r="G335" s="1">
        <v>6000</v>
      </c>
      <c r="H335" t="s">
        <v>14</v>
      </c>
      <c r="I335" t="s">
        <v>34</v>
      </c>
      <c r="J335" s="1">
        <v>51850.13</v>
      </c>
    </row>
    <row r="336" spans="1:10" x14ac:dyDescent="0.25">
      <c r="A336" t="str">
        <f t="shared" si="23"/>
        <v>07/20/20</v>
      </c>
      <c r="B336" t="s">
        <v>672</v>
      </c>
      <c r="C336" t="str">
        <f t="shared" si="24"/>
        <v>21216</v>
      </c>
      <c r="D336" t="str">
        <f>"2439 "</f>
        <v xml:space="preserve">2439 </v>
      </c>
      <c r="E336" t="str">
        <f>"019 "</f>
        <v xml:space="preserve">019 </v>
      </c>
      <c r="F336" t="s">
        <v>673</v>
      </c>
      <c r="G336" s="1">
        <v>15000</v>
      </c>
      <c r="H336" t="s">
        <v>14</v>
      </c>
      <c r="I336" t="s">
        <v>15</v>
      </c>
      <c r="J336" s="1">
        <v>10106.959999999999</v>
      </c>
    </row>
    <row r="337" spans="1:10" x14ac:dyDescent="0.25">
      <c r="A337" t="str">
        <f t="shared" si="23"/>
        <v>07/20/20</v>
      </c>
      <c r="B337" t="s">
        <v>674</v>
      </c>
      <c r="C337" t="str">
        <f t="shared" si="24"/>
        <v>21216</v>
      </c>
      <c r="D337" t="str">
        <f>"2475H"</f>
        <v>2475H</v>
      </c>
      <c r="E337" t="str">
        <f>"072 "</f>
        <v xml:space="preserve">072 </v>
      </c>
      <c r="F337" t="s">
        <v>675</v>
      </c>
      <c r="G337" s="1">
        <v>59500</v>
      </c>
      <c r="H337" t="s">
        <v>14</v>
      </c>
      <c r="I337" t="s">
        <v>34</v>
      </c>
      <c r="J337" s="1">
        <v>17252.54</v>
      </c>
    </row>
    <row r="338" spans="1:10" x14ac:dyDescent="0.25">
      <c r="A338" t="str">
        <f t="shared" si="23"/>
        <v>07/20/20</v>
      </c>
      <c r="B338" t="s">
        <v>676</v>
      </c>
      <c r="C338" t="str">
        <f t="shared" si="24"/>
        <v>21216</v>
      </c>
      <c r="D338" t="str">
        <f>"2449 "</f>
        <v xml:space="preserve">2449 </v>
      </c>
      <c r="E338" t="str">
        <f>"029 "</f>
        <v xml:space="preserve">029 </v>
      </c>
      <c r="F338" t="s">
        <v>677</v>
      </c>
      <c r="G338" s="1">
        <v>15000</v>
      </c>
      <c r="H338" t="s">
        <v>14</v>
      </c>
      <c r="I338" t="s">
        <v>15</v>
      </c>
      <c r="J338" s="1">
        <v>140776.35999999999</v>
      </c>
    </row>
    <row r="339" spans="1:10" x14ac:dyDescent="0.25">
      <c r="A339" t="str">
        <f t="shared" si="23"/>
        <v>07/20/20</v>
      </c>
      <c r="B339" t="s">
        <v>678</v>
      </c>
      <c r="C339" t="str">
        <f t="shared" si="24"/>
        <v>21216</v>
      </c>
      <c r="D339" t="str">
        <f>"2475H"</f>
        <v>2475H</v>
      </c>
      <c r="E339" t="str">
        <f>"052 "</f>
        <v xml:space="preserve">052 </v>
      </c>
      <c r="F339" t="s">
        <v>679</v>
      </c>
      <c r="G339" s="1">
        <v>61000</v>
      </c>
      <c r="H339" t="s">
        <v>14</v>
      </c>
      <c r="I339" t="s">
        <v>15</v>
      </c>
      <c r="J339" s="1">
        <v>58471.71</v>
      </c>
    </row>
    <row r="340" spans="1:10" x14ac:dyDescent="0.25">
      <c r="A340" t="str">
        <f t="shared" si="23"/>
        <v>07/20/20</v>
      </c>
      <c r="B340" t="s">
        <v>680</v>
      </c>
      <c r="C340" t="str">
        <f t="shared" si="24"/>
        <v>21216</v>
      </c>
      <c r="D340" t="str">
        <f>"2447 "</f>
        <v xml:space="preserve">2447 </v>
      </c>
      <c r="E340" t="str">
        <f>"063 "</f>
        <v xml:space="preserve">063 </v>
      </c>
      <c r="F340" t="s">
        <v>681</v>
      </c>
      <c r="G340" s="1">
        <v>29000</v>
      </c>
      <c r="H340" t="s">
        <v>14</v>
      </c>
      <c r="I340" t="s">
        <v>15</v>
      </c>
      <c r="J340" s="1">
        <v>22920.25</v>
      </c>
    </row>
    <row r="341" spans="1:10" x14ac:dyDescent="0.25">
      <c r="A341" t="str">
        <f t="shared" si="23"/>
        <v>07/20/20</v>
      </c>
      <c r="B341" t="s">
        <v>682</v>
      </c>
      <c r="C341" t="str">
        <f>"21213"</f>
        <v>21213</v>
      </c>
      <c r="D341" t="str">
        <f>"1544 "</f>
        <v xml:space="preserve">1544 </v>
      </c>
      <c r="E341" t="str">
        <f>"021 "</f>
        <v xml:space="preserve">021 </v>
      </c>
      <c r="F341" t="s">
        <v>683</v>
      </c>
      <c r="G341" s="1">
        <v>79300</v>
      </c>
      <c r="H341" t="s">
        <v>33</v>
      </c>
      <c r="I341" t="s">
        <v>15</v>
      </c>
      <c r="J341" s="1">
        <v>27683.47</v>
      </c>
    </row>
    <row r="342" spans="1:10" x14ac:dyDescent="0.25">
      <c r="A342" t="str">
        <f t="shared" si="23"/>
        <v>07/20/20</v>
      </c>
      <c r="B342" t="s">
        <v>684</v>
      </c>
      <c r="C342" t="str">
        <f>"21215"</f>
        <v>21215</v>
      </c>
      <c r="D342" t="str">
        <f>"4581 "</f>
        <v xml:space="preserve">4581 </v>
      </c>
      <c r="E342" t="str">
        <f>"031 "</f>
        <v xml:space="preserve">031 </v>
      </c>
      <c r="F342" t="s">
        <v>685</v>
      </c>
      <c r="G342" s="1">
        <v>12000</v>
      </c>
      <c r="H342" t="s">
        <v>14</v>
      </c>
      <c r="I342" t="s">
        <v>15</v>
      </c>
      <c r="J342" s="1">
        <v>1672.36</v>
      </c>
    </row>
    <row r="343" spans="1:10" x14ac:dyDescent="0.25">
      <c r="A343" t="str">
        <f t="shared" si="23"/>
        <v>07/20/20</v>
      </c>
      <c r="B343" t="s">
        <v>686</v>
      </c>
      <c r="C343" t="str">
        <f>"21213"</f>
        <v>21213</v>
      </c>
      <c r="D343" t="str">
        <f>"4178E"</f>
        <v>4178E</v>
      </c>
      <c r="E343" t="str">
        <f>"061 "</f>
        <v xml:space="preserve">061 </v>
      </c>
      <c r="F343" t="s">
        <v>687</v>
      </c>
      <c r="G343" s="1">
        <v>85300</v>
      </c>
      <c r="H343" t="s">
        <v>30</v>
      </c>
      <c r="I343" t="s">
        <v>34</v>
      </c>
      <c r="J343" s="1">
        <v>19403.39</v>
      </c>
    </row>
    <row r="344" spans="1:10" x14ac:dyDescent="0.25">
      <c r="A344" t="str">
        <f t="shared" si="23"/>
        <v>07/20/20</v>
      </c>
      <c r="B344" t="s">
        <v>688</v>
      </c>
      <c r="C344" t="str">
        <f>"21226"</f>
        <v>21226</v>
      </c>
      <c r="D344" t="str">
        <f>"7200 "</f>
        <v xml:space="preserve">7200 </v>
      </c>
      <c r="E344" t="str">
        <f>"094 "</f>
        <v xml:space="preserve">094 </v>
      </c>
      <c r="F344" t="s">
        <v>689</v>
      </c>
      <c r="G344" s="1">
        <v>30000</v>
      </c>
      <c r="H344" t="s">
        <v>91</v>
      </c>
      <c r="I344" t="s">
        <v>34</v>
      </c>
      <c r="J344" s="1">
        <v>10826.26</v>
      </c>
    </row>
    <row r="345" spans="1:10" x14ac:dyDescent="0.25">
      <c r="A345" t="str">
        <f t="shared" si="23"/>
        <v>07/20/20</v>
      </c>
      <c r="B345" t="s">
        <v>690</v>
      </c>
      <c r="C345" t="str">
        <f>"21226"</f>
        <v>21226</v>
      </c>
      <c r="D345" t="str">
        <f>"7204 "</f>
        <v xml:space="preserve">7204 </v>
      </c>
      <c r="E345" t="str">
        <f>"010 "</f>
        <v xml:space="preserve">010 </v>
      </c>
      <c r="F345" t="s">
        <v>691</v>
      </c>
      <c r="G345" s="1">
        <v>90000</v>
      </c>
      <c r="H345" t="s">
        <v>14</v>
      </c>
      <c r="I345" t="s">
        <v>34</v>
      </c>
      <c r="J345" s="1">
        <v>8321.65</v>
      </c>
    </row>
    <row r="346" spans="1:10" x14ac:dyDescent="0.25">
      <c r="A346" t="str">
        <f t="shared" si="23"/>
        <v>07/20/20</v>
      </c>
      <c r="B346" t="s">
        <v>692</v>
      </c>
      <c r="C346" t="str">
        <f>"21226"</f>
        <v>21226</v>
      </c>
      <c r="D346" t="str">
        <f>"7204 "</f>
        <v xml:space="preserve">7204 </v>
      </c>
      <c r="E346" t="str">
        <f>"002 "</f>
        <v xml:space="preserve">002 </v>
      </c>
      <c r="F346" t="s">
        <v>693</v>
      </c>
      <c r="G346" s="1">
        <v>2900</v>
      </c>
      <c r="H346" t="s">
        <v>14</v>
      </c>
      <c r="I346" t="s">
        <v>15</v>
      </c>
      <c r="J346" s="1">
        <v>90419.51</v>
      </c>
    </row>
    <row r="347" spans="1:10" x14ac:dyDescent="0.25">
      <c r="A347" t="str">
        <f t="shared" si="23"/>
        <v>07/20/20</v>
      </c>
      <c r="B347" t="s">
        <v>694</v>
      </c>
      <c r="C347" t="str">
        <f>"00000"</f>
        <v>00000</v>
      </c>
      <c r="D347" t="str">
        <f>"2813 "</f>
        <v xml:space="preserve">2813 </v>
      </c>
      <c r="E347" t="str">
        <f>"012 "</f>
        <v xml:space="preserve">012 </v>
      </c>
      <c r="F347" t="s">
        <v>695</v>
      </c>
      <c r="G347" s="1">
        <v>7000</v>
      </c>
      <c r="H347" t="s">
        <v>91</v>
      </c>
      <c r="I347" t="s">
        <v>15</v>
      </c>
      <c r="J347" s="1">
        <v>161851.01999999999</v>
      </c>
    </row>
    <row r="348" spans="1:10" x14ac:dyDescent="0.25">
      <c r="A348" t="str">
        <f t="shared" si="23"/>
        <v>07/20/20</v>
      </c>
      <c r="B348" t="s">
        <v>696</v>
      </c>
      <c r="C348" t="str">
        <f>"21216"</f>
        <v>21216</v>
      </c>
      <c r="D348" t="str">
        <f>"2814 "</f>
        <v xml:space="preserve">2814 </v>
      </c>
      <c r="E348" t="str">
        <f>"020 "</f>
        <v xml:space="preserve">020 </v>
      </c>
      <c r="F348" t="s">
        <v>697</v>
      </c>
      <c r="G348" s="1">
        <v>169700</v>
      </c>
      <c r="H348" t="s">
        <v>91</v>
      </c>
      <c r="I348" t="s">
        <v>15</v>
      </c>
      <c r="J348" s="1">
        <v>92574.91</v>
      </c>
    </row>
    <row r="349" spans="1:10" x14ac:dyDescent="0.25">
      <c r="A349" t="str">
        <f t="shared" si="23"/>
        <v>07/20/20</v>
      </c>
      <c r="B349" t="s">
        <v>698</v>
      </c>
      <c r="C349" t="str">
        <f>"21230"</f>
        <v>21230</v>
      </c>
      <c r="D349" t="str">
        <f>"7567A"</f>
        <v>7567A</v>
      </c>
      <c r="E349" t="str">
        <f>"014 "</f>
        <v xml:space="preserve">014 </v>
      </c>
      <c r="F349" t="s">
        <v>699</v>
      </c>
      <c r="G349" s="1">
        <v>52900</v>
      </c>
      <c r="H349" t="s">
        <v>700</v>
      </c>
      <c r="I349" t="s">
        <v>15</v>
      </c>
      <c r="J349" s="1">
        <v>83250.12</v>
      </c>
    </row>
    <row r="350" spans="1:10" x14ac:dyDescent="0.25">
      <c r="A350" t="str">
        <f t="shared" si="23"/>
        <v>07/20/20</v>
      </c>
      <c r="B350" t="s">
        <v>701</v>
      </c>
      <c r="C350" t="str">
        <f>"    0"</f>
        <v xml:space="preserve">    0</v>
      </c>
      <c r="D350" t="str">
        <f>"0032 "</f>
        <v xml:space="preserve">0032 </v>
      </c>
      <c r="E350" t="str">
        <f>"060 "</f>
        <v xml:space="preserve">060 </v>
      </c>
      <c r="F350" t="s">
        <v>702</v>
      </c>
      <c r="G350" s="1">
        <v>1000</v>
      </c>
      <c r="H350" t="s">
        <v>33</v>
      </c>
      <c r="I350" t="s">
        <v>15</v>
      </c>
      <c r="J350" s="1">
        <v>517.36</v>
      </c>
    </row>
    <row r="351" spans="1:10" x14ac:dyDescent="0.25">
      <c r="A351" t="str">
        <f t="shared" si="23"/>
        <v>07/20/20</v>
      </c>
      <c r="B351" t="s">
        <v>703</v>
      </c>
      <c r="C351" t="str">
        <f>"HEEL5"</f>
        <v>HEEL5</v>
      </c>
      <c r="D351" t="str">
        <f>"2358 "</f>
        <v xml:space="preserve">2358 </v>
      </c>
      <c r="E351" t="str">
        <f>"048D"</f>
        <v>048D</v>
      </c>
      <c r="F351" t="s">
        <v>704</v>
      </c>
      <c r="G351" s="1">
        <v>2100</v>
      </c>
      <c r="H351" t="s">
        <v>14</v>
      </c>
      <c r="I351" t="s">
        <v>15</v>
      </c>
      <c r="J351" s="1">
        <v>1740.1</v>
      </c>
    </row>
    <row r="352" spans="1:10" x14ac:dyDescent="0.25">
      <c r="A352" t="str">
        <f t="shared" si="23"/>
        <v>07/20/20</v>
      </c>
      <c r="B352" t="s">
        <v>705</v>
      </c>
      <c r="C352" t="str">
        <f>"HAHU3"</f>
        <v>HAHU3</v>
      </c>
      <c r="D352" t="str">
        <f>"7567A"</f>
        <v>7567A</v>
      </c>
      <c r="E352" t="str">
        <f>"011 "</f>
        <v xml:space="preserve">011 </v>
      </c>
      <c r="F352" t="s">
        <v>699</v>
      </c>
      <c r="G352" s="1">
        <v>19300</v>
      </c>
      <c r="H352" t="s">
        <v>700</v>
      </c>
      <c r="I352" t="s">
        <v>15</v>
      </c>
      <c r="J352" s="1">
        <v>883.28</v>
      </c>
    </row>
    <row r="353" spans="1:10" x14ac:dyDescent="0.25">
      <c r="A353" t="str">
        <f t="shared" si="23"/>
        <v>07/20/20</v>
      </c>
      <c r="B353" t="s">
        <v>706</v>
      </c>
      <c r="C353" t="str">
        <f>" E 43"</f>
        <v xml:space="preserve"> E 43</v>
      </c>
      <c r="D353" t="str">
        <f>"5192 "</f>
        <v xml:space="preserve">5192 </v>
      </c>
      <c r="E353" t="str">
        <f>"014 "</f>
        <v xml:space="preserve">014 </v>
      </c>
      <c r="F353" t="s">
        <v>707</v>
      </c>
      <c r="G353" s="1">
        <v>5500</v>
      </c>
      <c r="H353" t="s">
        <v>91</v>
      </c>
      <c r="I353" t="s">
        <v>15</v>
      </c>
      <c r="J353" s="1">
        <v>29243.56</v>
      </c>
    </row>
    <row r="354" spans="1:10" x14ac:dyDescent="0.25">
      <c r="A354" t="str">
        <f t="shared" si="23"/>
        <v>07/20/20</v>
      </c>
      <c r="B354" t="s">
        <v>708</v>
      </c>
      <c r="C354" t="str">
        <f>"LEY 0"</f>
        <v>LEY 0</v>
      </c>
      <c r="D354" t="str">
        <f>"1343 "</f>
        <v xml:space="preserve">1343 </v>
      </c>
      <c r="E354" t="str">
        <f>"051 "</f>
        <v xml:space="preserve">051 </v>
      </c>
      <c r="F354" t="s">
        <v>709</v>
      </c>
      <c r="G354" s="1">
        <v>0</v>
      </c>
      <c r="H354" t="s">
        <v>33</v>
      </c>
      <c r="I354" t="s">
        <v>15</v>
      </c>
      <c r="J354" s="1">
        <v>1921.43</v>
      </c>
    </row>
    <row r="355" spans="1:10" x14ac:dyDescent="0.25">
      <c r="A355" t="str">
        <f t="shared" si="23"/>
        <v>07/20/20</v>
      </c>
      <c r="B355" t="s">
        <v>710</v>
      </c>
      <c r="C355" t="str">
        <f>"MINE0"</f>
        <v>MINE0</v>
      </c>
      <c r="D355" t="str">
        <f>"8434C"</f>
        <v>8434C</v>
      </c>
      <c r="E355" t="str">
        <f>"006 "</f>
        <v xml:space="preserve">006 </v>
      </c>
      <c r="F355" t="s">
        <v>711</v>
      </c>
      <c r="G355" s="1">
        <v>16400</v>
      </c>
      <c r="H355" t="s">
        <v>91</v>
      </c>
      <c r="I355" t="s">
        <v>15</v>
      </c>
      <c r="J355" s="1">
        <v>514.04</v>
      </c>
    </row>
    <row r="356" spans="1:10" x14ac:dyDescent="0.25">
      <c r="A356" t="str">
        <f t="shared" si="23"/>
        <v>07/20/20</v>
      </c>
      <c r="B356" t="s">
        <v>712</v>
      </c>
      <c r="C356" t="str">
        <f>"    0"</f>
        <v xml:space="preserve">    0</v>
      </c>
      <c r="D356" t="str">
        <f>"7479 "</f>
        <v xml:space="preserve">7479 </v>
      </c>
      <c r="E356" t="str">
        <f>"021 "</f>
        <v xml:space="preserve">021 </v>
      </c>
      <c r="F356" t="s">
        <v>713</v>
      </c>
      <c r="G356" s="1">
        <v>9600</v>
      </c>
      <c r="H356" t="s">
        <v>14</v>
      </c>
      <c r="I356" t="s">
        <v>15</v>
      </c>
      <c r="J356" s="1">
        <v>4514.33</v>
      </c>
    </row>
    <row r="357" spans="1:10" x14ac:dyDescent="0.25">
      <c r="A357" t="str">
        <f t="shared" si="23"/>
        <v>07/20/20</v>
      </c>
      <c r="B357" t="s">
        <v>714</v>
      </c>
      <c r="C357" t="str">
        <f>"PH S3"</f>
        <v>PH S3</v>
      </c>
      <c r="D357" t="str">
        <f>"2253 "</f>
        <v xml:space="preserve">2253 </v>
      </c>
      <c r="E357" t="str">
        <f>"041 "</f>
        <v xml:space="preserve">041 </v>
      </c>
      <c r="F357" t="s">
        <v>715</v>
      </c>
      <c r="G357" s="1">
        <v>5000</v>
      </c>
      <c r="H357" t="s">
        <v>91</v>
      </c>
      <c r="I357" t="s">
        <v>15</v>
      </c>
      <c r="J357" s="1">
        <v>1532.27</v>
      </c>
    </row>
    <row r="358" spans="1:10" x14ac:dyDescent="0.25">
      <c r="A358" t="str">
        <f t="shared" si="23"/>
        <v>07/20/20</v>
      </c>
      <c r="B358" t="s">
        <v>716</v>
      </c>
      <c r="C358" t="str">
        <f>"NNA 2"</f>
        <v>NNA 2</v>
      </c>
      <c r="D358" t="str">
        <f>"1832 "</f>
        <v xml:space="preserve">1832 </v>
      </c>
      <c r="E358" t="str">
        <f>"001 "</f>
        <v xml:space="preserve">001 </v>
      </c>
      <c r="F358" t="s">
        <v>717</v>
      </c>
      <c r="G358" s="1">
        <v>0</v>
      </c>
      <c r="H358" t="s">
        <v>33</v>
      </c>
      <c r="I358" t="s">
        <v>15</v>
      </c>
      <c r="J358" s="1">
        <v>2321.7600000000002</v>
      </c>
    </row>
    <row r="359" spans="1:10" x14ac:dyDescent="0.25">
      <c r="A359" t="str">
        <f t="shared" si="23"/>
        <v>07/20/20</v>
      </c>
      <c r="B359" t="s">
        <v>718</v>
      </c>
      <c r="C359" t="str">
        <f>"R 219"</f>
        <v>R 219</v>
      </c>
      <c r="D359" t="str">
        <f>"2199C"</f>
        <v>2199C</v>
      </c>
      <c r="E359" t="str">
        <f>"042 "</f>
        <v xml:space="preserve">042 </v>
      </c>
      <c r="F359" t="s">
        <v>719</v>
      </c>
      <c r="G359" s="1">
        <v>48700</v>
      </c>
      <c r="H359" t="s">
        <v>661</v>
      </c>
      <c r="I359" t="s">
        <v>15</v>
      </c>
      <c r="J359" s="1">
        <v>12503.44</v>
      </c>
    </row>
    <row r="360" spans="1:10" x14ac:dyDescent="0.25">
      <c r="A360" t="str">
        <f t="shared" si="23"/>
        <v>07/20/20</v>
      </c>
      <c r="B360" t="s">
        <v>720</v>
      </c>
      <c r="C360" t="str">
        <f>"Y AV5"</f>
        <v>Y AV5</v>
      </c>
      <c r="D360" t="str">
        <f>"5150 "</f>
        <v xml:space="preserve">5150 </v>
      </c>
      <c r="E360" t="str">
        <f>"026 "</f>
        <v xml:space="preserve">026 </v>
      </c>
      <c r="F360" t="s">
        <v>721</v>
      </c>
      <c r="G360" s="1">
        <v>800</v>
      </c>
      <c r="H360" t="s">
        <v>91</v>
      </c>
      <c r="I360" t="s">
        <v>15</v>
      </c>
      <c r="J360" s="1">
        <v>12255.34</v>
      </c>
    </row>
    <row r="361" spans="1:10" x14ac:dyDescent="0.25">
      <c r="A361" t="str">
        <f t="shared" si="23"/>
        <v>07/20/20</v>
      </c>
      <c r="B361" t="s">
        <v>720</v>
      </c>
      <c r="C361" t="str">
        <f>"Y AV5"</f>
        <v>Y AV5</v>
      </c>
      <c r="D361" t="str">
        <f>"5150 "</f>
        <v xml:space="preserve">5150 </v>
      </c>
      <c r="E361" t="str">
        <f>"022 "</f>
        <v xml:space="preserve">022 </v>
      </c>
      <c r="F361" t="s">
        <v>722</v>
      </c>
      <c r="G361" s="1">
        <v>800</v>
      </c>
      <c r="H361" t="s">
        <v>91</v>
      </c>
      <c r="I361" t="s">
        <v>15</v>
      </c>
      <c r="J361" s="1">
        <v>8636.76</v>
      </c>
    </row>
    <row r="362" spans="1:10" x14ac:dyDescent="0.25">
      <c r="A362" t="str">
        <f t="shared" si="23"/>
        <v>07/20/20</v>
      </c>
      <c r="B362" t="s">
        <v>723</v>
      </c>
      <c r="C362" t="str">
        <f>" 5050"</f>
        <v xml:space="preserve"> 5050</v>
      </c>
      <c r="D362" t="str">
        <f>"6629C"</f>
        <v>6629C</v>
      </c>
      <c r="E362" t="str">
        <f>"039B"</f>
        <v>039B</v>
      </c>
      <c r="F362" t="s">
        <v>724</v>
      </c>
      <c r="G362" s="1">
        <v>4500</v>
      </c>
      <c r="H362" t="s">
        <v>30</v>
      </c>
      <c r="I362" t="s">
        <v>15</v>
      </c>
      <c r="J362" s="1">
        <v>6096.88</v>
      </c>
    </row>
    <row r="363" spans="1:10" x14ac:dyDescent="0.25">
      <c r="A363" t="str">
        <f t="shared" si="23"/>
        <v>07/20/20</v>
      </c>
      <c r="B363" t="s">
        <v>725</v>
      </c>
      <c r="C363" t="str">
        <f>"T RE1"</f>
        <v>T RE1</v>
      </c>
      <c r="D363" t="str">
        <f>"2301 "</f>
        <v xml:space="preserve">2301 </v>
      </c>
      <c r="E363" t="str">
        <f>"046F"</f>
        <v>046F</v>
      </c>
      <c r="F363" t="s">
        <v>726</v>
      </c>
      <c r="G363" s="1">
        <v>3000</v>
      </c>
      <c r="H363" t="s">
        <v>14</v>
      </c>
      <c r="I363" t="s">
        <v>15</v>
      </c>
      <c r="J363" s="1">
        <v>6759.51</v>
      </c>
    </row>
    <row r="364" spans="1:10" x14ac:dyDescent="0.25">
      <c r="A364" t="str">
        <f t="shared" si="23"/>
        <v>07/20/20</v>
      </c>
      <c r="B364" t="s">
        <v>727</v>
      </c>
      <c r="C364" t="str">
        <f>"REAR0"</f>
        <v>REAR0</v>
      </c>
      <c r="D364" t="str">
        <f>"8253 "</f>
        <v xml:space="preserve">8253 </v>
      </c>
      <c r="E364" t="str">
        <f>"033 "</f>
        <v xml:space="preserve">033 </v>
      </c>
      <c r="F364" t="s">
        <v>728</v>
      </c>
      <c r="G364" s="1">
        <v>46100</v>
      </c>
      <c r="H364" t="s">
        <v>161</v>
      </c>
      <c r="I364" t="s">
        <v>15</v>
      </c>
      <c r="J364" s="1">
        <v>2397.88</v>
      </c>
    </row>
    <row r="365" spans="1:10" x14ac:dyDescent="0.25">
      <c r="A365" t="str">
        <f t="shared" si="23"/>
        <v>07/20/20</v>
      </c>
      <c r="B365" t="s">
        <v>729</v>
      </c>
      <c r="C365" t="str">
        <f>"41-80"</f>
        <v>41-80</v>
      </c>
      <c r="D365" t="str">
        <f>"3969M"</f>
        <v>3969M</v>
      </c>
      <c r="E365" t="str">
        <f>"060 "</f>
        <v xml:space="preserve">060 </v>
      </c>
      <c r="F365" t="s">
        <v>730</v>
      </c>
      <c r="G365" s="1">
        <v>2000</v>
      </c>
      <c r="H365" t="s">
        <v>91</v>
      </c>
      <c r="I365" t="s">
        <v>15</v>
      </c>
      <c r="J365" s="1">
        <v>850.36</v>
      </c>
    </row>
    <row r="366" spans="1:10" x14ac:dyDescent="0.25">
      <c r="A366" t="str">
        <f t="shared" si="23"/>
        <v>07/20/20</v>
      </c>
      <c r="B366" t="s">
        <v>731</v>
      </c>
      <c r="C366" t="str">
        <f>"21224"</f>
        <v>21224</v>
      </c>
      <c r="D366" t="str">
        <f>"6269 "</f>
        <v xml:space="preserve">6269 </v>
      </c>
      <c r="E366" t="str">
        <f>"008 "</f>
        <v xml:space="preserve">008 </v>
      </c>
      <c r="F366" t="s">
        <v>732</v>
      </c>
      <c r="G366" s="1">
        <v>76000</v>
      </c>
      <c r="H366" t="s">
        <v>33</v>
      </c>
      <c r="I366" t="s">
        <v>15</v>
      </c>
      <c r="J366" s="1">
        <v>122808.45</v>
      </c>
    </row>
    <row r="367" spans="1:10" x14ac:dyDescent="0.25">
      <c r="A367" t="str">
        <f t="shared" si="23"/>
        <v>07/20/20</v>
      </c>
      <c r="B367" t="s">
        <v>733</v>
      </c>
      <c r="C367" t="str">
        <f>"21226"</f>
        <v>21226</v>
      </c>
      <c r="D367" t="str">
        <f>"7268 "</f>
        <v xml:space="preserve">7268 </v>
      </c>
      <c r="E367" t="str">
        <f>"005 "</f>
        <v xml:space="preserve">005 </v>
      </c>
      <c r="F367" t="s">
        <v>734</v>
      </c>
      <c r="G367" s="1">
        <v>30000</v>
      </c>
      <c r="H367" t="s">
        <v>14</v>
      </c>
      <c r="I367" t="s">
        <v>34</v>
      </c>
      <c r="J367" s="1">
        <v>8676.6200000000008</v>
      </c>
    </row>
    <row r="368" spans="1:10" x14ac:dyDescent="0.25">
      <c r="A368" t="str">
        <f t="shared" si="23"/>
        <v>07/20/20</v>
      </c>
      <c r="B368" t="s">
        <v>735</v>
      </c>
      <c r="C368" t="str">
        <f t="shared" ref="C368:C373" si="25">"21223"</f>
        <v>21223</v>
      </c>
      <c r="D368" t="str">
        <f>"2170B"</f>
        <v>2170B</v>
      </c>
      <c r="E368" t="str">
        <f>"061 "</f>
        <v xml:space="preserve">061 </v>
      </c>
      <c r="F368" t="s">
        <v>736</v>
      </c>
      <c r="G368" s="1">
        <v>6000</v>
      </c>
      <c r="H368" t="s">
        <v>33</v>
      </c>
      <c r="I368" t="s">
        <v>34</v>
      </c>
      <c r="J368" s="1">
        <v>33137.879999999997</v>
      </c>
    </row>
    <row r="369" spans="1:10" x14ac:dyDescent="0.25">
      <c r="A369" t="str">
        <f t="shared" si="23"/>
        <v>07/20/20</v>
      </c>
      <c r="B369" t="s">
        <v>737</v>
      </c>
      <c r="C369" t="str">
        <f t="shared" si="25"/>
        <v>21223</v>
      </c>
      <c r="D369" t="str">
        <f>"2170A"</f>
        <v>2170A</v>
      </c>
      <c r="E369" t="str">
        <f>"013 "</f>
        <v xml:space="preserve">013 </v>
      </c>
      <c r="F369" t="s">
        <v>738</v>
      </c>
      <c r="G369" s="1">
        <v>16200</v>
      </c>
      <c r="H369" t="s">
        <v>33</v>
      </c>
      <c r="I369" t="s">
        <v>34</v>
      </c>
      <c r="J369" s="1">
        <v>7824.9</v>
      </c>
    </row>
    <row r="370" spans="1:10" x14ac:dyDescent="0.25">
      <c r="A370" t="str">
        <f t="shared" si="23"/>
        <v>07/20/20</v>
      </c>
      <c r="B370" t="s">
        <v>739</v>
      </c>
      <c r="C370" t="str">
        <f t="shared" si="25"/>
        <v>21223</v>
      </c>
      <c r="D370" t="str">
        <f>"2170B"</f>
        <v>2170B</v>
      </c>
      <c r="E370" t="str">
        <f>"072 "</f>
        <v xml:space="preserve">072 </v>
      </c>
      <c r="F370" t="s">
        <v>740</v>
      </c>
      <c r="G370" s="1">
        <v>6000</v>
      </c>
      <c r="H370" t="s">
        <v>33</v>
      </c>
      <c r="I370" t="s">
        <v>34</v>
      </c>
      <c r="J370" s="1">
        <v>47745.32</v>
      </c>
    </row>
    <row r="371" spans="1:10" x14ac:dyDescent="0.25">
      <c r="A371" t="str">
        <f t="shared" si="23"/>
        <v>07/20/20</v>
      </c>
      <c r="B371" t="s">
        <v>741</v>
      </c>
      <c r="C371" t="str">
        <f t="shared" si="25"/>
        <v>21223</v>
      </c>
      <c r="D371" t="str">
        <f>"2169 "</f>
        <v xml:space="preserve">2169 </v>
      </c>
      <c r="E371" t="str">
        <f>"055 "</f>
        <v xml:space="preserve">055 </v>
      </c>
      <c r="F371" t="s">
        <v>742</v>
      </c>
      <c r="G371" s="1">
        <v>30000</v>
      </c>
      <c r="H371" t="s">
        <v>33</v>
      </c>
      <c r="I371" t="s">
        <v>15</v>
      </c>
      <c r="J371" s="1">
        <v>10962.56</v>
      </c>
    </row>
    <row r="372" spans="1:10" x14ac:dyDescent="0.25">
      <c r="A372" t="str">
        <f t="shared" si="23"/>
        <v>07/20/20</v>
      </c>
      <c r="B372" t="s">
        <v>743</v>
      </c>
      <c r="C372" t="str">
        <f t="shared" si="25"/>
        <v>21223</v>
      </c>
      <c r="D372" t="str">
        <f>"0190 "</f>
        <v xml:space="preserve">0190 </v>
      </c>
      <c r="E372" t="str">
        <f>"083 "</f>
        <v xml:space="preserve">083 </v>
      </c>
      <c r="F372" t="s">
        <v>744</v>
      </c>
      <c r="G372" s="1">
        <v>3000</v>
      </c>
      <c r="H372" t="s">
        <v>33</v>
      </c>
      <c r="I372" t="s">
        <v>34</v>
      </c>
      <c r="J372" s="1">
        <v>1570.74</v>
      </c>
    </row>
    <row r="373" spans="1:10" x14ac:dyDescent="0.25">
      <c r="A373" t="str">
        <f t="shared" si="23"/>
        <v>07/20/20</v>
      </c>
      <c r="B373" t="s">
        <v>745</v>
      </c>
      <c r="C373" t="str">
        <f t="shared" si="25"/>
        <v>21223</v>
      </c>
      <c r="D373" t="str">
        <f>"0192 "</f>
        <v xml:space="preserve">0192 </v>
      </c>
      <c r="E373" t="str">
        <f>"072 "</f>
        <v xml:space="preserve">072 </v>
      </c>
      <c r="F373" t="s">
        <v>746</v>
      </c>
      <c r="G373" s="1">
        <v>5000</v>
      </c>
      <c r="H373" t="s">
        <v>33</v>
      </c>
      <c r="I373" t="s">
        <v>15</v>
      </c>
      <c r="J373" s="1">
        <v>26968.14</v>
      </c>
    </row>
    <row r="374" spans="1:10" x14ac:dyDescent="0.25">
      <c r="A374" t="str">
        <f t="shared" si="23"/>
        <v>07/20/20</v>
      </c>
      <c r="B374" t="s">
        <v>747</v>
      </c>
      <c r="C374" t="str">
        <f>"21216"</f>
        <v>21216</v>
      </c>
      <c r="D374" t="str">
        <f>"2908 "</f>
        <v xml:space="preserve">2908 </v>
      </c>
      <c r="E374" t="str">
        <f>"016 "</f>
        <v xml:space="preserve">016 </v>
      </c>
      <c r="F374" t="s">
        <v>748</v>
      </c>
      <c r="G374" s="1">
        <v>8600</v>
      </c>
      <c r="H374" t="s">
        <v>91</v>
      </c>
      <c r="I374" t="s">
        <v>15</v>
      </c>
      <c r="J374" s="1">
        <v>9316.3799999999992</v>
      </c>
    </row>
    <row r="375" spans="1:10" x14ac:dyDescent="0.25">
      <c r="A375" t="str">
        <f t="shared" si="23"/>
        <v>07/20/20</v>
      </c>
      <c r="B375" t="s">
        <v>749</v>
      </c>
      <c r="C375" t="str">
        <f>"21216"</f>
        <v>21216</v>
      </c>
      <c r="D375" t="str">
        <f>"2918 "</f>
        <v xml:space="preserve">2918 </v>
      </c>
      <c r="E375" t="str">
        <f>"001B"</f>
        <v>001B</v>
      </c>
      <c r="F375" t="s">
        <v>750</v>
      </c>
      <c r="G375" s="1">
        <v>8100</v>
      </c>
      <c r="H375" t="s">
        <v>124</v>
      </c>
      <c r="I375" t="s">
        <v>15</v>
      </c>
      <c r="J375" s="1">
        <v>121929.21</v>
      </c>
    </row>
    <row r="376" spans="1:10" x14ac:dyDescent="0.25">
      <c r="A376" t="str">
        <f t="shared" si="23"/>
        <v>07/20/20</v>
      </c>
      <c r="B376" t="s">
        <v>751</v>
      </c>
      <c r="C376" t="str">
        <f>"21216"</f>
        <v>21216</v>
      </c>
      <c r="D376" t="str">
        <f>"2921 "</f>
        <v xml:space="preserve">2921 </v>
      </c>
      <c r="E376" t="str">
        <f>"003 "</f>
        <v xml:space="preserve">003 </v>
      </c>
      <c r="F376" t="s">
        <v>752</v>
      </c>
      <c r="G376" s="1">
        <v>9000</v>
      </c>
      <c r="H376" t="s">
        <v>124</v>
      </c>
      <c r="I376" t="s">
        <v>15</v>
      </c>
      <c r="J376" s="1">
        <v>405446.52</v>
      </c>
    </row>
    <row r="377" spans="1:10" x14ac:dyDescent="0.25">
      <c r="A377" t="str">
        <f t="shared" si="23"/>
        <v>07/20/20</v>
      </c>
      <c r="B377" t="s">
        <v>753</v>
      </c>
      <c r="C377" t="str">
        <f>"21216"</f>
        <v>21216</v>
      </c>
      <c r="D377" t="str">
        <f>"2908 "</f>
        <v xml:space="preserve">2908 </v>
      </c>
      <c r="E377" t="str">
        <f>"022 "</f>
        <v xml:space="preserve">022 </v>
      </c>
      <c r="F377" t="s">
        <v>754</v>
      </c>
      <c r="G377" s="1">
        <v>7500</v>
      </c>
      <c r="H377" t="s">
        <v>91</v>
      </c>
      <c r="I377" t="s">
        <v>15</v>
      </c>
      <c r="J377" s="1">
        <v>357763.67</v>
      </c>
    </row>
    <row r="378" spans="1:10" x14ac:dyDescent="0.25">
      <c r="A378" t="str">
        <f t="shared" si="23"/>
        <v>07/20/20</v>
      </c>
      <c r="B378" t="s">
        <v>755</v>
      </c>
      <c r="C378" t="str">
        <f>"21216"</f>
        <v>21216</v>
      </c>
      <c r="D378" t="str">
        <f>"2748C"</f>
        <v>2748C</v>
      </c>
      <c r="E378" t="str">
        <f>"025 "</f>
        <v xml:space="preserve">025 </v>
      </c>
      <c r="F378" t="s">
        <v>756</v>
      </c>
      <c r="G378" s="1">
        <v>96200</v>
      </c>
      <c r="H378" t="s">
        <v>14</v>
      </c>
      <c r="I378" t="s">
        <v>15</v>
      </c>
      <c r="J378" s="1">
        <v>26347.66</v>
      </c>
    </row>
    <row r="379" spans="1:10" x14ac:dyDescent="0.25">
      <c r="A379" t="str">
        <f t="shared" si="23"/>
        <v>07/20/20</v>
      </c>
      <c r="B379" t="s">
        <v>757</v>
      </c>
      <c r="C379" t="str">
        <f>"21223"</f>
        <v>21223</v>
      </c>
      <c r="D379" t="str">
        <f>"2154 "</f>
        <v xml:space="preserve">2154 </v>
      </c>
      <c r="E379" t="str">
        <f>"023 "</f>
        <v xml:space="preserve">023 </v>
      </c>
      <c r="F379" t="s">
        <v>758</v>
      </c>
      <c r="G379" s="1">
        <v>3000</v>
      </c>
      <c r="H379" t="s">
        <v>33</v>
      </c>
      <c r="I379" t="s">
        <v>34</v>
      </c>
      <c r="J379" s="1">
        <v>14117.19</v>
      </c>
    </row>
    <row r="380" spans="1:10" x14ac:dyDescent="0.25">
      <c r="A380" t="str">
        <f t="shared" si="23"/>
        <v>07/20/20</v>
      </c>
      <c r="B380" t="s">
        <v>759</v>
      </c>
      <c r="C380" t="str">
        <f>"21223"</f>
        <v>21223</v>
      </c>
      <c r="D380" t="str">
        <f>"2167B"</f>
        <v>2167B</v>
      </c>
      <c r="E380" t="str">
        <f>"025 "</f>
        <v xml:space="preserve">025 </v>
      </c>
      <c r="F380" t="s">
        <v>760</v>
      </c>
      <c r="G380" s="1">
        <v>30000</v>
      </c>
      <c r="H380" t="s">
        <v>33</v>
      </c>
      <c r="I380" t="s">
        <v>34</v>
      </c>
      <c r="J380" s="1">
        <v>3392.73</v>
      </c>
    </row>
    <row r="381" spans="1:10" x14ac:dyDescent="0.25">
      <c r="A381" t="str">
        <f t="shared" si="23"/>
        <v>07/20/20</v>
      </c>
      <c r="B381" t="s">
        <v>761</v>
      </c>
      <c r="C381" t="str">
        <f>"21223"</f>
        <v>21223</v>
      </c>
      <c r="D381" t="str">
        <f>"0193 "</f>
        <v xml:space="preserve">0193 </v>
      </c>
      <c r="E381" t="str">
        <f>"013 "</f>
        <v xml:space="preserve">013 </v>
      </c>
      <c r="F381" t="s">
        <v>762</v>
      </c>
      <c r="G381" s="1">
        <v>1000</v>
      </c>
      <c r="H381" t="s">
        <v>33</v>
      </c>
      <c r="I381" t="s">
        <v>15</v>
      </c>
      <c r="J381" s="1">
        <v>119585.29</v>
      </c>
    </row>
    <row r="382" spans="1:10" x14ac:dyDescent="0.25">
      <c r="A382" t="str">
        <f t="shared" si="23"/>
        <v>07/20/20</v>
      </c>
      <c r="B382" t="s">
        <v>763</v>
      </c>
      <c r="C382" t="str">
        <f>"21223"</f>
        <v>21223</v>
      </c>
      <c r="D382" t="str">
        <f>"0175 "</f>
        <v xml:space="preserve">0175 </v>
      </c>
      <c r="E382" t="str">
        <f>"100 "</f>
        <v xml:space="preserve">100 </v>
      </c>
      <c r="F382" t="s">
        <v>764</v>
      </c>
      <c r="G382" s="1">
        <v>10200</v>
      </c>
      <c r="H382" t="s">
        <v>33</v>
      </c>
      <c r="I382" t="s">
        <v>34</v>
      </c>
      <c r="J382" s="1">
        <v>28914.25</v>
      </c>
    </row>
    <row r="383" spans="1:10" x14ac:dyDescent="0.25">
      <c r="A383" t="str">
        <f t="shared" si="23"/>
        <v>07/20/20</v>
      </c>
      <c r="B383" t="s">
        <v>765</v>
      </c>
      <c r="C383" t="str">
        <f>"21215"</f>
        <v>21215</v>
      </c>
      <c r="D383" t="str">
        <f>"2959 "</f>
        <v xml:space="preserve">2959 </v>
      </c>
      <c r="E383" t="str">
        <f>"028 "</f>
        <v xml:space="preserve">028 </v>
      </c>
      <c r="F383" t="s">
        <v>766</v>
      </c>
      <c r="G383" s="1">
        <v>8100</v>
      </c>
      <c r="H383" t="s">
        <v>700</v>
      </c>
      <c r="I383" t="s">
        <v>15</v>
      </c>
      <c r="J383" s="1">
        <v>596.39</v>
      </c>
    </row>
    <row r="384" spans="1:10" x14ac:dyDescent="0.25">
      <c r="A384" t="str">
        <f t="shared" si="23"/>
        <v>07/20/20</v>
      </c>
      <c r="B384" t="s">
        <v>767</v>
      </c>
      <c r="C384" t="str">
        <f>"21213"</f>
        <v>21213</v>
      </c>
      <c r="D384" t="str">
        <f>"1486 "</f>
        <v xml:space="preserve">1486 </v>
      </c>
      <c r="E384" t="str">
        <f>"022 "</f>
        <v xml:space="preserve">022 </v>
      </c>
      <c r="F384" t="s">
        <v>768</v>
      </c>
      <c r="G384" s="1">
        <v>23000</v>
      </c>
      <c r="H384" t="s">
        <v>33</v>
      </c>
      <c r="I384" t="s">
        <v>34</v>
      </c>
      <c r="J384" s="1">
        <v>6699.77</v>
      </c>
    </row>
    <row r="385" spans="1:10" x14ac:dyDescent="0.25">
      <c r="A385" t="str">
        <f t="shared" si="23"/>
        <v>07/20/20</v>
      </c>
      <c r="B385" t="s">
        <v>769</v>
      </c>
      <c r="C385" t="str">
        <f>"21213"</f>
        <v>21213</v>
      </c>
      <c r="D385" t="str">
        <f>"1117 "</f>
        <v xml:space="preserve">1117 </v>
      </c>
      <c r="E385" t="str">
        <f>"053 "</f>
        <v xml:space="preserve">053 </v>
      </c>
      <c r="F385" t="s">
        <v>770</v>
      </c>
      <c r="G385" s="1">
        <v>1000</v>
      </c>
      <c r="H385" t="s">
        <v>33</v>
      </c>
      <c r="I385" t="s">
        <v>15</v>
      </c>
      <c r="J385" s="1">
        <v>1513158.35</v>
      </c>
    </row>
    <row r="386" spans="1:10" x14ac:dyDescent="0.25">
      <c r="A386" t="str">
        <f t="shared" si="23"/>
        <v>07/20/20</v>
      </c>
      <c r="B386" t="s">
        <v>771</v>
      </c>
      <c r="C386" t="str">
        <f>"21213"</f>
        <v>21213</v>
      </c>
      <c r="D386" t="str">
        <f>"1126 "</f>
        <v xml:space="preserve">1126 </v>
      </c>
      <c r="E386" t="str">
        <f>"023 "</f>
        <v xml:space="preserve">023 </v>
      </c>
      <c r="F386" t="s">
        <v>772</v>
      </c>
      <c r="G386" s="1">
        <v>19000</v>
      </c>
      <c r="H386" t="s">
        <v>33</v>
      </c>
      <c r="I386" t="s">
        <v>15</v>
      </c>
      <c r="J386" s="1">
        <v>14577.07</v>
      </c>
    </row>
    <row r="387" spans="1:10" x14ac:dyDescent="0.25">
      <c r="A387" t="str">
        <f t="shared" ref="A387:A450" si="26">"07/20/20"</f>
        <v>07/20/20</v>
      </c>
      <c r="B387" t="s">
        <v>773</v>
      </c>
      <c r="C387" t="str">
        <f>"21213"</f>
        <v>21213</v>
      </c>
      <c r="D387" t="str">
        <f>"1118 "</f>
        <v xml:space="preserve">1118 </v>
      </c>
      <c r="E387" t="str">
        <f>"069 "</f>
        <v xml:space="preserve">069 </v>
      </c>
      <c r="F387" t="s">
        <v>774</v>
      </c>
      <c r="G387" s="1">
        <v>19000</v>
      </c>
      <c r="H387" t="s">
        <v>33</v>
      </c>
      <c r="I387" t="s">
        <v>34</v>
      </c>
      <c r="J387" s="1">
        <v>15084.26</v>
      </c>
    </row>
    <row r="388" spans="1:10" x14ac:dyDescent="0.25">
      <c r="A388" t="str">
        <f t="shared" si="26"/>
        <v>07/20/20</v>
      </c>
      <c r="B388" t="s">
        <v>775</v>
      </c>
      <c r="C388" t="str">
        <f>"00000"</f>
        <v>00000</v>
      </c>
      <c r="D388" t="str">
        <f>"3411 "</f>
        <v xml:space="preserve">3411 </v>
      </c>
      <c r="E388" t="str">
        <f>"036 "</f>
        <v xml:space="preserve">036 </v>
      </c>
      <c r="F388" t="s">
        <v>776</v>
      </c>
      <c r="G388" s="1">
        <v>1400</v>
      </c>
      <c r="H388" t="s">
        <v>33</v>
      </c>
      <c r="I388" t="s">
        <v>15</v>
      </c>
      <c r="J388" s="1">
        <v>30211.67</v>
      </c>
    </row>
    <row r="389" spans="1:10" x14ac:dyDescent="0.25">
      <c r="A389" t="str">
        <f t="shared" si="26"/>
        <v>07/20/20</v>
      </c>
      <c r="B389" t="s">
        <v>777</v>
      </c>
      <c r="C389" t="str">
        <f>"21215"</f>
        <v>21215</v>
      </c>
      <c r="D389" t="str">
        <f>"4552 "</f>
        <v xml:space="preserve">4552 </v>
      </c>
      <c r="E389" t="str">
        <f>"058 "</f>
        <v xml:space="preserve">058 </v>
      </c>
      <c r="F389" t="s">
        <v>778</v>
      </c>
      <c r="G389" s="1">
        <v>17000</v>
      </c>
      <c r="H389" t="s">
        <v>91</v>
      </c>
      <c r="I389" t="s">
        <v>15</v>
      </c>
      <c r="J389" s="1">
        <v>11057.85</v>
      </c>
    </row>
    <row r="390" spans="1:10" x14ac:dyDescent="0.25">
      <c r="A390" t="str">
        <f t="shared" si="26"/>
        <v>07/20/20</v>
      </c>
      <c r="B390" t="s">
        <v>779</v>
      </c>
      <c r="C390" t="str">
        <f>"21223"</f>
        <v>21223</v>
      </c>
      <c r="D390" t="str">
        <f>"2195 "</f>
        <v xml:space="preserve">2195 </v>
      </c>
      <c r="E390" t="str">
        <f>"029 "</f>
        <v xml:space="preserve">029 </v>
      </c>
      <c r="F390" t="s">
        <v>780</v>
      </c>
      <c r="G390" s="1">
        <v>17000</v>
      </c>
      <c r="H390" t="s">
        <v>30</v>
      </c>
      <c r="I390" t="s">
        <v>15</v>
      </c>
      <c r="J390" s="1">
        <v>11697.22</v>
      </c>
    </row>
    <row r="391" spans="1:10" x14ac:dyDescent="0.25">
      <c r="A391" t="str">
        <f t="shared" si="26"/>
        <v>07/20/20</v>
      </c>
      <c r="B391" t="s">
        <v>781</v>
      </c>
      <c r="C391" t="str">
        <f>"21216"</f>
        <v>21216</v>
      </c>
      <c r="D391" t="str">
        <f>"2911 "</f>
        <v xml:space="preserve">2911 </v>
      </c>
      <c r="E391" t="str">
        <f>"025 "</f>
        <v xml:space="preserve">025 </v>
      </c>
      <c r="F391" t="s">
        <v>782</v>
      </c>
      <c r="G391" s="1">
        <v>148700</v>
      </c>
      <c r="H391" t="s">
        <v>124</v>
      </c>
      <c r="I391" t="s">
        <v>15</v>
      </c>
      <c r="J391" s="1">
        <v>30066.38</v>
      </c>
    </row>
    <row r="392" spans="1:10" x14ac:dyDescent="0.25">
      <c r="A392" t="str">
        <f t="shared" si="26"/>
        <v>07/20/20</v>
      </c>
      <c r="B392" t="s">
        <v>783</v>
      </c>
      <c r="C392" t="str">
        <f>"21229"</f>
        <v>21229</v>
      </c>
      <c r="D392" t="str">
        <f>"2297 "</f>
        <v xml:space="preserve">2297 </v>
      </c>
      <c r="E392" t="str">
        <f>"024 "</f>
        <v xml:space="preserve">024 </v>
      </c>
      <c r="F392" t="s">
        <v>784</v>
      </c>
      <c r="G392" s="1">
        <v>69100</v>
      </c>
      <c r="H392" t="s">
        <v>14</v>
      </c>
      <c r="I392" t="s">
        <v>34</v>
      </c>
      <c r="J392" s="1">
        <v>2372.7399999999998</v>
      </c>
    </row>
    <row r="393" spans="1:10" x14ac:dyDescent="0.25">
      <c r="A393" t="str">
        <f t="shared" si="26"/>
        <v>07/20/20</v>
      </c>
      <c r="B393" t="s">
        <v>785</v>
      </c>
      <c r="C393" t="str">
        <f t="shared" ref="C393:C406" si="27">"21223"</f>
        <v>21223</v>
      </c>
      <c r="D393" t="str">
        <f>"0119 "</f>
        <v xml:space="preserve">0119 </v>
      </c>
      <c r="E393" t="str">
        <f>"094 "</f>
        <v xml:space="preserve">094 </v>
      </c>
      <c r="F393" t="s">
        <v>786</v>
      </c>
      <c r="G393" s="1">
        <v>1000</v>
      </c>
      <c r="H393" t="s">
        <v>33</v>
      </c>
      <c r="I393" t="s">
        <v>15</v>
      </c>
      <c r="J393" s="1">
        <v>99978.44</v>
      </c>
    </row>
    <row r="394" spans="1:10" x14ac:dyDescent="0.25">
      <c r="A394" t="str">
        <f t="shared" si="26"/>
        <v>07/20/20</v>
      </c>
      <c r="B394" t="s">
        <v>787</v>
      </c>
      <c r="C394" t="str">
        <f t="shared" si="27"/>
        <v>21223</v>
      </c>
      <c r="D394" t="str">
        <f>"0119 "</f>
        <v xml:space="preserve">0119 </v>
      </c>
      <c r="E394" t="str">
        <f>"107 "</f>
        <v xml:space="preserve">107 </v>
      </c>
      <c r="F394" t="s">
        <v>788</v>
      </c>
      <c r="G394" s="1">
        <v>1000</v>
      </c>
      <c r="H394" t="s">
        <v>33</v>
      </c>
      <c r="I394" t="s">
        <v>15</v>
      </c>
      <c r="J394" s="1">
        <v>24981.73</v>
      </c>
    </row>
    <row r="395" spans="1:10" x14ac:dyDescent="0.25">
      <c r="A395" t="str">
        <f t="shared" si="26"/>
        <v>07/20/20</v>
      </c>
      <c r="B395" t="s">
        <v>789</v>
      </c>
      <c r="C395" t="str">
        <f t="shared" si="27"/>
        <v>21223</v>
      </c>
      <c r="D395" t="str">
        <f>"0126 "</f>
        <v xml:space="preserve">0126 </v>
      </c>
      <c r="E395" t="str">
        <f>"054 "</f>
        <v xml:space="preserve">054 </v>
      </c>
      <c r="F395" t="s">
        <v>790</v>
      </c>
      <c r="G395" s="1">
        <v>4000</v>
      </c>
      <c r="H395" t="s">
        <v>791</v>
      </c>
      <c r="I395" t="s">
        <v>15</v>
      </c>
      <c r="J395" s="1">
        <v>4175.97</v>
      </c>
    </row>
    <row r="396" spans="1:10" x14ac:dyDescent="0.25">
      <c r="A396" t="str">
        <f t="shared" si="26"/>
        <v>07/20/20</v>
      </c>
      <c r="B396" t="s">
        <v>792</v>
      </c>
      <c r="C396" t="str">
        <f t="shared" si="27"/>
        <v>21223</v>
      </c>
      <c r="D396" t="str">
        <f>"0127 "</f>
        <v xml:space="preserve">0127 </v>
      </c>
      <c r="E396" t="str">
        <f>"003 "</f>
        <v xml:space="preserve">003 </v>
      </c>
      <c r="F396" t="s">
        <v>793</v>
      </c>
      <c r="G396" s="1">
        <v>5000</v>
      </c>
      <c r="H396" t="s">
        <v>33</v>
      </c>
      <c r="I396" t="s">
        <v>15</v>
      </c>
      <c r="J396" s="1">
        <v>58811.24</v>
      </c>
    </row>
    <row r="397" spans="1:10" x14ac:dyDescent="0.25">
      <c r="A397" t="str">
        <f t="shared" si="26"/>
        <v>07/20/20</v>
      </c>
      <c r="B397" t="s">
        <v>794</v>
      </c>
      <c r="C397" t="str">
        <f t="shared" si="27"/>
        <v>21223</v>
      </c>
      <c r="D397" t="str">
        <f>"0127 "</f>
        <v xml:space="preserve">0127 </v>
      </c>
      <c r="E397" t="str">
        <f>"008 "</f>
        <v xml:space="preserve">008 </v>
      </c>
      <c r="F397" t="s">
        <v>795</v>
      </c>
      <c r="G397" s="1">
        <v>16200</v>
      </c>
      <c r="H397" t="s">
        <v>33</v>
      </c>
      <c r="I397" t="s">
        <v>34</v>
      </c>
      <c r="J397" s="1">
        <v>5554.24</v>
      </c>
    </row>
    <row r="398" spans="1:10" x14ac:dyDescent="0.25">
      <c r="A398" t="str">
        <f t="shared" si="26"/>
        <v>07/20/20</v>
      </c>
      <c r="B398" t="s">
        <v>796</v>
      </c>
      <c r="C398" t="str">
        <f t="shared" si="27"/>
        <v>21223</v>
      </c>
      <c r="D398" t="str">
        <f>"0124 "</f>
        <v xml:space="preserve">0124 </v>
      </c>
      <c r="E398" t="str">
        <f>"054 "</f>
        <v xml:space="preserve">054 </v>
      </c>
      <c r="F398" t="s">
        <v>797</v>
      </c>
      <c r="G398" s="1">
        <v>1000</v>
      </c>
      <c r="H398" t="s">
        <v>33</v>
      </c>
      <c r="I398" t="s">
        <v>15</v>
      </c>
      <c r="J398" s="1">
        <v>35198.81</v>
      </c>
    </row>
    <row r="399" spans="1:10" x14ac:dyDescent="0.25">
      <c r="A399" t="str">
        <f t="shared" si="26"/>
        <v>07/20/20</v>
      </c>
      <c r="B399" t="s">
        <v>798</v>
      </c>
      <c r="C399" t="str">
        <f t="shared" si="27"/>
        <v>21223</v>
      </c>
      <c r="D399" t="str">
        <f>"0120 "</f>
        <v xml:space="preserve">0120 </v>
      </c>
      <c r="E399" t="str">
        <f>"059 "</f>
        <v xml:space="preserve">059 </v>
      </c>
      <c r="F399" t="s">
        <v>799</v>
      </c>
      <c r="G399" s="1">
        <v>7000</v>
      </c>
      <c r="H399" t="s">
        <v>33</v>
      </c>
      <c r="I399" t="s">
        <v>34</v>
      </c>
      <c r="J399" s="1">
        <v>936.28</v>
      </c>
    </row>
    <row r="400" spans="1:10" x14ac:dyDescent="0.25">
      <c r="A400" t="str">
        <f t="shared" si="26"/>
        <v>07/20/20</v>
      </c>
      <c r="B400" t="s">
        <v>800</v>
      </c>
      <c r="C400" t="str">
        <f t="shared" si="27"/>
        <v>21223</v>
      </c>
      <c r="D400" t="str">
        <f>"0128 "</f>
        <v xml:space="preserve">0128 </v>
      </c>
      <c r="E400" t="str">
        <f>"034 "</f>
        <v xml:space="preserve">034 </v>
      </c>
      <c r="F400" t="s">
        <v>801</v>
      </c>
      <c r="G400" s="1">
        <v>4000</v>
      </c>
      <c r="H400" t="s">
        <v>33</v>
      </c>
      <c r="I400" t="s">
        <v>34</v>
      </c>
      <c r="J400" s="1">
        <v>18478.580000000002</v>
      </c>
    </row>
    <row r="401" spans="1:10" x14ac:dyDescent="0.25">
      <c r="A401" t="str">
        <f t="shared" si="26"/>
        <v>07/20/20</v>
      </c>
      <c r="B401" t="s">
        <v>802</v>
      </c>
      <c r="C401" t="str">
        <f t="shared" si="27"/>
        <v>21223</v>
      </c>
      <c r="D401" t="str">
        <f>"0128 "</f>
        <v xml:space="preserve">0128 </v>
      </c>
      <c r="E401" t="str">
        <f>"047 "</f>
        <v xml:space="preserve">047 </v>
      </c>
      <c r="F401" t="s">
        <v>803</v>
      </c>
      <c r="G401" s="1">
        <v>3200</v>
      </c>
      <c r="H401" t="s">
        <v>33</v>
      </c>
      <c r="I401" t="s">
        <v>15</v>
      </c>
      <c r="J401" s="1">
        <v>20637.400000000001</v>
      </c>
    </row>
    <row r="402" spans="1:10" x14ac:dyDescent="0.25">
      <c r="A402" t="str">
        <f t="shared" si="26"/>
        <v>07/20/20</v>
      </c>
      <c r="B402" t="s">
        <v>804</v>
      </c>
      <c r="C402" t="str">
        <f t="shared" si="27"/>
        <v>21223</v>
      </c>
      <c r="D402" t="str">
        <f>"0119 "</f>
        <v xml:space="preserve">0119 </v>
      </c>
      <c r="E402" t="str">
        <f>"106 "</f>
        <v xml:space="preserve">106 </v>
      </c>
      <c r="F402" t="s">
        <v>805</v>
      </c>
      <c r="G402" s="1">
        <v>1000</v>
      </c>
      <c r="H402" t="s">
        <v>33</v>
      </c>
      <c r="I402" t="s">
        <v>15</v>
      </c>
      <c r="J402" s="1">
        <v>23555.66</v>
      </c>
    </row>
    <row r="403" spans="1:10" x14ac:dyDescent="0.25">
      <c r="A403" t="str">
        <f t="shared" si="26"/>
        <v>07/20/20</v>
      </c>
      <c r="B403" t="s">
        <v>806</v>
      </c>
      <c r="C403" t="str">
        <f t="shared" si="27"/>
        <v>21223</v>
      </c>
      <c r="D403" t="str">
        <f>"0122 "</f>
        <v xml:space="preserve">0122 </v>
      </c>
      <c r="E403" t="str">
        <f>"071 "</f>
        <v xml:space="preserve">071 </v>
      </c>
      <c r="F403" t="s">
        <v>807</v>
      </c>
      <c r="G403" s="1">
        <v>1000</v>
      </c>
      <c r="H403" t="s">
        <v>33</v>
      </c>
      <c r="I403" t="s">
        <v>15</v>
      </c>
      <c r="J403" s="1">
        <v>11318.96</v>
      </c>
    </row>
    <row r="404" spans="1:10" x14ac:dyDescent="0.25">
      <c r="A404" t="str">
        <f t="shared" si="26"/>
        <v>07/20/20</v>
      </c>
      <c r="B404" t="s">
        <v>808</v>
      </c>
      <c r="C404" t="str">
        <f t="shared" si="27"/>
        <v>21223</v>
      </c>
      <c r="D404" t="str">
        <f>"0121 "</f>
        <v xml:space="preserve">0121 </v>
      </c>
      <c r="E404" t="str">
        <f>"065 "</f>
        <v xml:space="preserve">065 </v>
      </c>
      <c r="F404" t="s">
        <v>809</v>
      </c>
      <c r="G404" s="1">
        <v>3000</v>
      </c>
      <c r="H404" t="s">
        <v>33</v>
      </c>
      <c r="I404" t="s">
        <v>34</v>
      </c>
      <c r="J404" s="1">
        <v>77216.44</v>
      </c>
    </row>
    <row r="405" spans="1:10" x14ac:dyDescent="0.25">
      <c r="A405" t="str">
        <f t="shared" si="26"/>
        <v>07/20/20</v>
      </c>
      <c r="B405" t="s">
        <v>810</v>
      </c>
      <c r="C405" t="str">
        <f t="shared" si="27"/>
        <v>21223</v>
      </c>
      <c r="D405" t="str">
        <f>"0120 "</f>
        <v xml:space="preserve">0120 </v>
      </c>
      <c r="E405" t="str">
        <f>"072 "</f>
        <v xml:space="preserve">072 </v>
      </c>
      <c r="F405" t="s">
        <v>811</v>
      </c>
      <c r="G405" s="1">
        <v>1000</v>
      </c>
      <c r="H405" t="s">
        <v>33</v>
      </c>
      <c r="I405" t="s">
        <v>15</v>
      </c>
      <c r="J405" s="1">
        <v>61112.31</v>
      </c>
    </row>
    <row r="406" spans="1:10" x14ac:dyDescent="0.25">
      <c r="A406" t="str">
        <f t="shared" si="26"/>
        <v>07/20/20</v>
      </c>
      <c r="B406" t="s">
        <v>812</v>
      </c>
      <c r="C406" t="str">
        <f t="shared" si="27"/>
        <v>21223</v>
      </c>
      <c r="D406" t="str">
        <f>"0121 "</f>
        <v xml:space="preserve">0121 </v>
      </c>
      <c r="E406" t="str">
        <f>"058 "</f>
        <v xml:space="preserve">058 </v>
      </c>
      <c r="F406" t="s">
        <v>813</v>
      </c>
      <c r="G406" s="1">
        <v>1000</v>
      </c>
      <c r="H406" t="s">
        <v>33</v>
      </c>
      <c r="I406" t="s">
        <v>15</v>
      </c>
      <c r="J406" s="1">
        <v>10983.77</v>
      </c>
    </row>
    <row r="407" spans="1:10" x14ac:dyDescent="0.25">
      <c r="A407" t="str">
        <f t="shared" si="26"/>
        <v>07/20/20</v>
      </c>
      <c r="B407" t="s">
        <v>814</v>
      </c>
      <c r="C407" t="str">
        <f>"21216"</f>
        <v>21216</v>
      </c>
      <c r="D407" t="str">
        <f>"2377B"</f>
        <v>2377B</v>
      </c>
      <c r="E407" t="str">
        <f>"014 "</f>
        <v xml:space="preserve">014 </v>
      </c>
      <c r="F407" t="s">
        <v>815</v>
      </c>
      <c r="G407" s="1">
        <v>7000</v>
      </c>
      <c r="H407" t="s">
        <v>161</v>
      </c>
      <c r="I407" t="s">
        <v>34</v>
      </c>
      <c r="J407" s="1">
        <v>5547.99</v>
      </c>
    </row>
    <row r="408" spans="1:10" x14ac:dyDescent="0.25">
      <c r="A408" t="str">
        <f t="shared" si="26"/>
        <v>07/20/20</v>
      </c>
      <c r="B408" t="s">
        <v>816</v>
      </c>
      <c r="C408" t="str">
        <f>"21216"</f>
        <v>21216</v>
      </c>
      <c r="D408" t="str">
        <f>"2377B"</f>
        <v>2377B</v>
      </c>
      <c r="E408" t="str">
        <f>"018 "</f>
        <v xml:space="preserve">018 </v>
      </c>
      <c r="F408" t="s">
        <v>817</v>
      </c>
      <c r="G408" s="1">
        <v>7000</v>
      </c>
      <c r="H408" t="s">
        <v>161</v>
      </c>
      <c r="I408" t="s">
        <v>34</v>
      </c>
      <c r="J408" s="1">
        <v>57186.080000000002</v>
      </c>
    </row>
    <row r="409" spans="1:10" x14ac:dyDescent="0.25">
      <c r="A409" t="str">
        <f t="shared" si="26"/>
        <v>07/20/20</v>
      </c>
      <c r="B409" t="s">
        <v>818</v>
      </c>
      <c r="C409" t="str">
        <f>"21216"</f>
        <v>21216</v>
      </c>
      <c r="D409" t="str">
        <f>"2377B"</f>
        <v>2377B</v>
      </c>
      <c r="E409" t="str">
        <f>"010 "</f>
        <v xml:space="preserve">010 </v>
      </c>
      <c r="F409" t="s">
        <v>209</v>
      </c>
      <c r="G409" s="1">
        <v>1000</v>
      </c>
      <c r="H409" t="s">
        <v>161</v>
      </c>
      <c r="I409" t="s">
        <v>15</v>
      </c>
      <c r="J409" s="1">
        <v>63978.97</v>
      </c>
    </row>
    <row r="410" spans="1:10" x14ac:dyDescent="0.25">
      <c r="A410" t="str">
        <f t="shared" si="26"/>
        <v>07/20/20</v>
      </c>
      <c r="B410" t="s">
        <v>819</v>
      </c>
      <c r="C410" t="str">
        <f>"21216"</f>
        <v>21216</v>
      </c>
      <c r="D410" t="str">
        <f>"2377B"</f>
        <v>2377B</v>
      </c>
      <c r="E410" t="str">
        <f>"007 "</f>
        <v xml:space="preserve">007 </v>
      </c>
      <c r="F410" t="s">
        <v>820</v>
      </c>
      <c r="G410" s="1">
        <v>1000</v>
      </c>
      <c r="H410" t="s">
        <v>161</v>
      </c>
      <c r="I410" t="s">
        <v>15</v>
      </c>
      <c r="J410" s="1">
        <v>62477.3</v>
      </c>
    </row>
    <row r="411" spans="1:10" x14ac:dyDescent="0.25">
      <c r="A411" t="str">
        <f t="shared" si="26"/>
        <v>07/20/20</v>
      </c>
      <c r="B411" t="s">
        <v>821</v>
      </c>
      <c r="C411" t="str">
        <f t="shared" ref="C411:C418" si="28">"21223"</f>
        <v>21223</v>
      </c>
      <c r="D411" t="str">
        <f>"2176 "</f>
        <v xml:space="preserve">2176 </v>
      </c>
      <c r="E411" t="str">
        <f>"055 "</f>
        <v xml:space="preserve">055 </v>
      </c>
      <c r="F411" t="s">
        <v>822</v>
      </c>
      <c r="G411" s="1">
        <v>1000</v>
      </c>
      <c r="H411" t="s">
        <v>33</v>
      </c>
      <c r="I411" t="s">
        <v>15</v>
      </c>
      <c r="J411" s="1">
        <v>82830.789999999994</v>
      </c>
    </row>
    <row r="412" spans="1:10" x14ac:dyDescent="0.25">
      <c r="A412" t="str">
        <f t="shared" si="26"/>
        <v>07/20/20</v>
      </c>
      <c r="B412" t="s">
        <v>823</v>
      </c>
      <c r="C412" t="str">
        <f t="shared" si="28"/>
        <v>21223</v>
      </c>
      <c r="D412" t="str">
        <f>"2176 "</f>
        <v xml:space="preserve">2176 </v>
      </c>
      <c r="E412" t="str">
        <f>"047 "</f>
        <v xml:space="preserve">047 </v>
      </c>
      <c r="F412" t="s">
        <v>824</v>
      </c>
      <c r="G412" s="1">
        <v>1000</v>
      </c>
      <c r="H412" t="s">
        <v>33</v>
      </c>
      <c r="I412" t="s">
        <v>15</v>
      </c>
      <c r="J412" s="1">
        <v>19727.89</v>
      </c>
    </row>
    <row r="413" spans="1:10" x14ac:dyDescent="0.25">
      <c r="A413" t="str">
        <f t="shared" si="26"/>
        <v>07/20/20</v>
      </c>
      <c r="B413" t="s">
        <v>825</v>
      </c>
      <c r="C413" t="str">
        <f t="shared" si="28"/>
        <v>21223</v>
      </c>
      <c r="D413" t="str">
        <f>"2176 "</f>
        <v xml:space="preserve">2176 </v>
      </c>
      <c r="E413" t="str">
        <f>"053 "</f>
        <v xml:space="preserve">053 </v>
      </c>
      <c r="F413" t="s">
        <v>826</v>
      </c>
      <c r="G413" s="1">
        <v>1000</v>
      </c>
      <c r="H413" t="s">
        <v>33</v>
      </c>
      <c r="I413" t="s">
        <v>15</v>
      </c>
      <c r="J413" s="1">
        <v>100210.68</v>
      </c>
    </row>
    <row r="414" spans="1:10" x14ac:dyDescent="0.25">
      <c r="A414" t="str">
        <f t="shared" si="26"/>
        <v>07/20/20</v>
      </c>
      <c r="B414" t="s">
        <v>827</v>
      </c>
      <c r="C414" t="str">
        <f t="shared" si="28"/>
        <v>21223</v>
      </c>
      <c r="D414" t="str">
        <f>"2132 "</f>
        <v xml:space="preserve">2132 </v>
      </c>
      <c r="E414" t="str">
        <f>"016 "</f>
        <v xml:space="preserve">016 </v>
      </c>
      <c r="F414" t="s">
        <v>828</v>
      </c>
      <c r="G414" s="1">
        <v>46000</v>
      </c>
      <c r="H414" t="s">
        <v>30</v>
      </c>
      <c r="I414" t="s">
        <v>34</v>
      </c>
      <c r="J414" s="1">
        <v>45108.58</v>
      </c>
    </row>
    <row r="415" spans="1:10" x14ac:dyDescent="0.25">
      <c r="A415" t="str">
        <f t="shared" si="26"/>
        <v>07/20/20</v>
      </c>
      <c r="B415" t="s">
        <v>829</v>
      </c>
      <c r="C415" t="str">
        <f t="shared" si="28"/>
        <v>21223</v>
      </c>
      <c r="D415" t="str">
        <f>"2140 "</f>
        <v xml:space="preserve">2140 </v>
      </c>
      <c r="E415" t="str">
        <f>"003 "</f>
        <v xml:space="preserve">003 </v>
      </c>
      <c r="F415" t="s">
        <v>830</v>
      </c>
      <c r="G415" s="1">
        <v>19000</v>
      </c>
      <c r="H415" t="s">
        <v>33</v>
      </c>
      <c r="I415" t="s">
        <v>15</v>
      </c>
      <c r="J415" s="1">
        <v>16531.78</v>
      </c>
    </row>
    <row r="416" spans="1:10" x14ac:dyDescent="0.25">
      <c r="A416" t="str">
        <f t="shared" si="26"/>
        <v>07/20/20</v>
      </c>
      <c r="B416" t="s">
        <v>831</v>
      </c>
      <c r="C416" t="str">
        <f t="shared" si="28"/>
        <v>21223</v>
      </c>
      <c r="D416" t="str">
        <f>"2195 "</f>
        <v xml:space="preserve">2195 </v>
      </c>
      <c r="E416" t="str">
        <f>"039 "</f>
        <v xml:space="preserve">039 </v>
      </c>
      <c r="F416" t="s">
        <v>832</v>
      </c>
      <c r="G416" s="1">
        <v>17000</v>
      </c>
      <c r="H416" t="s">
        <v>142</v>
      </c>
      <c r="I416" t="s">
        <v>34</v>
      </c>
      <c r="J416" s="1">
        <v>16180.56</v>
      </c>
    </row>
    <row r="417" spans="1:10" x14ac:dyDescent="0.25">
      <c r="A417" t="str">
        <f t="shared" si="26"/>
        <v>07/20/20</v>
      </c>
      <c r="B417" t="s">
        <v>833</v>
      </c>
      <c r="C417" t="str">
        <f t="shared" si="28"/>
        <v>21223</v>
      </c>
      <c r="D417" t="str">
        <f>"2150 "</f>
        <v xml:space="preserve">2150 </v>
      </c>
      <c r="E417" t="str">
        <f>"005 "</f>
        <v xml:space="preserve">005 </v>
      </c>
      <c r="F417" t="s">
        <v>834</v>
      </c>
      <c r="G417" s="1">
        <v>1000</v>
      </c>
      <c r="H417" t="s">
        <v>661</v>
      </c>
      <c r="I417" t="s">
        <v>15</v>
      </c>
      <c r="J417" s="1">
        <v>82383.399999999994</v>
      </c>
    </row>
    <row r="418" spans="1:10" x14ac:dyDescent="0.25">
      <c r="A418" t="str">
        <f t="shared" si="26"/>
        <v>07/20/20</v>
      </c>
      <c r="B418" t="s">
        <v>835</v>
      </c>
      <c r="C418" t="str">
        <f t="shared" si="28"/>
        <v>21223</v>
      </c>
      <c r="D418" t="str">
        <f>"0221 "</f>
        <v xml:space="preserve">0221 </v>
      </c>
      <c r="E418" t="str">
        <f>"032 "</f>
        <v xml:space="preserve">032 </v>
      </c>
      <c r="F418" t="s">
        <v>836</v>
      </c>
      <c r="G418" s="1">
        <v>17900</v>
      </c>
      <c r="H418" t="s">
        <v>700</v>
      </c>
      <c r="I418" t="s">
        <v>15</v>
      </c>
      <c r="J418" s="1">
        <v>2766.43</v>
      </c>
    </row>
    <row r="419" spans="1:10" x14ac:dyDescent="0.25">
      <c r="A419" t="str">
        <f t="shared" si="26"/>
        <v>07/20/20</v>
      </c>
      <c r="B419" t="s">
        <v>837</v>
      </c>
      <c r="C419" t="str">
        <f>"21225"</f>
        <v>21225</v>
      </c>
      <c r="D419" t="str">
        <f>"7075 "</f>
        <v xml:space="preserve">7075 </v>
      </c>
      <c r="E419" t="str">
        <f>"026 "</f>
        <v xml:space="preserve">026 </v>
      </c>
      <c r="F419" t="s">
        <v>838</v>
      </c>
      <c r="G419" s="1">
        <v>4000</v>
      </c>
      <c r="H419" t="s">
        <v>30</v>
      </c>
      <c r="I419" t="s">
        <v>34</v>
      </c>
      <c r="J419" s="1">
        <v>351.55</v>
      </c>
    </row>
    <row r="420" spans="1:10" x14ac:dyDescent="0.25">
      <c r="A420" t="str">
        <f t="shared" si="26"/>
        <v>07/20/20</v>
      </c>
      <c r="B420" t="s">
        <v>839</v>
      </c>
      <c r="C420" t="str">
        <f t="shared" ref="C420:C428" si="29">"21217"</f>
        <v>21217</v>
      </c>
      <c r="D420" t="str">
        <f>"0104 "</f>
        <v xml:space="preserve">0104 </v>
      </c>
      <c r="E420" t="str">
        <f>"060 "</f>
        <v xml:space="preserve">060 </v>
      </c>
      <c r="F420" t="s">
        <v>840</v>
      </c>
      <c r="G420" s="1">
        <v>6000</v>
      </c>
      <c r="H420" t="s">
        <v>33</v>
      </c>
      <c r="I420" t="s">
        <v>34</v>
      </c>
      <c r="J420" s="1">
        <v>40011.199999999997</v>
      </c>
    </row>
    <row r="421" spans="1:10" x14ac:dyDescent="0.25">
      <c r="A421" t="str">
        <f t="shared" si="26"/>
        <v>07/20/20</v>
      </c>
      <c r="B421" t="s">
        <v>841</v>
      </c>
      <c r="C421" t="str">
        <f t="shared" si="29"/>
        <v>21217</v>
      </c>
      <c r="D421" t="str">
        <f>"0411 "</f>
        <v xml:space="preserve">0411 </v>
      </c>
      <c r="E421" t="str">
        <f>"026 "</f>
        <v xml:space="preserve">026 </v>
      </c>
      <c r="F421" t="s">
        <v>842</v>
      </c>
      <c r="G421" s="1">
        <v>1000</v>
      </c>
      <c r="H421" t="s">
        <v>33</v>
      </c>
      <c r="I421" t="s">
        <v>15</v>
      </c>
      <c r="J421" s="1">
        <v>14991.12</v>
      </c>
    </row>
    <row r="422" spans="1:10" x14ac:dyDescent="0.25">
      <c r="A422" t="str">
        <f t="shared" si="26"/>
        <v>07/20/20</v>
      </c>
      <c r="B422" t="s">
        <v>843</v>
      </c>
      <c r="C422" t="str">
        <f t="shared" si="29"/>
        <v>21217</v>
      </c>
      <c r="D422" t="str">
        <f>"0411 "</f>
        <v xml:space="preserve">0411 </v>
      </c>
      <c r="E422" t="str">
        <f>"036 "</f>
        <v xml:space="preserve">036 </v>
      </c>
      <c r="F422" t="s">
        <v>844</v>
      </c>
      <c r="G422" s="1">
        <v>1000</v>
      </c>
      <c r="H422" t="s">
        <v>33</v>
      </c>
      <c r="I422" t="s">
        <v>15</v>
      </c>
      <c r="J422" s="1">
        <v>121548.48</v>
      </c>
    </row>
    <row r="423" spans="1:10" x14ac:dyDescent="0.25">
      <c r="A423" t="str">
        <f t="shared" si="26"/>
        <v>07/20/20</v>
      </c>
      <c r="B423" t="s">
        <v>845</v>
      </c>
      <c r="C423" t="str">
        <f t="shared" si="29"/>
        <v>21217</v>
      </c>
      <c r="D423" t="str">
        <f>"0092 "</f>
        <v xml:space="preserve">0092 </v>
      </c>
      <c r="E423" t="str">
        <f>"003 "</f>
        <v xml:space="preserve">003 </v>
      </c>
      <c r="F423" t="s">
        <v>846</v>
      </c>
      <c r="G423" s="1">
        <v>1000</v>
      </c>
      <c r="H423" t="s">
        <v>33</v>
      </c>
      <c r="I423" t="s">
        <v>15</v>
      </c>
      <c r="J423" s="1">
        <v>6944.83</v>
      </c>
    </row>
    <row r="424" spans="1:10" x14ac:dyDescent="0.25">
      <c r="A424" t="str">
        <f t="shared" si="26"/>
        <v>07/20/20</v>
      </c>
      <c r="B424" t="s">
        <v>847</v>
      </c>
      <c r="C424" t="str">
        <f t="shared" si="29"/>
        <v>21217</v>
      </c>
      <c r="D424" t="str">
        <f>"0092 "</f>
        <v xml:space="preserve">0092 </v>
      </c>
      <c r="E424" t="str">
        <f>"002 "</f>
        <v xml:space="preserve">002 </v>
      </c>
      <c r="F424" t="s">
        <v>846</v>
      </c>
      <c r="G424" s="1">
        <v>1000</v>
      </c>
      <c r="H424" t="s">
        <v>33</v>
      </c>
      <c r="I424" t="s">
        <v>15</v>
      </c>
      <c r="J424" s="1">
        <v>7036.34</v>
      </c>
    </row>
    <row r="425" spans="1:10" x14ac:dyDescent="0.25">
      <c r="A425" t="str">
        <f t="shared" si="26"/>
        <v>07/20/20</v>
      </c>
      <c r="B425" t="s">
        <v>848</v>
      </c>
      <c r="C425" t="str">
        <f t="shared" si="29"/>
        <v>21217</v>
      </c>
      <c r="D425" t="str">
        <f>"0092 "</f>
        <v xml:space="preserve">0092 </v>
      </c>
      <c r="E425" t="str">
        <f>"004 "</f>
        <v xml:space="preserve">004 </v>
      </c>
      <c r="F425" t="s">
        <v>846</v>
      </c>
      <c r="G425" s="1">
        <v>4000</v>
      </c>
      <c r="H425" t="s">
        <v>33</v>
      </c>
      <c r="I425" t="s">
        <v>15</v>
      </c>
      <c r="J425" s="1">
        <v>6992.75</v>
      </c>
    </row>
    <row r="426" spans="1:10" x14ac:dyDescent="0.25">
      <c r="A426" t="str">
        <f t="shared" si="26"/>
        <v>07/20/20</v>
      </c>
      <c r="B426" t="s">
        <v>849</v>
      </c>
      <c r="C426" t="str">
        <f t="shared" si="29"/>
        <v>21217</v>
      </c>
      <c r="D426" t="str">
        <f>"0085 "</f>
        <v xml:space="preserve">0085 </v>
      </c>
      <c r="E426" t="str">
        <f>"003 "</f>
        <v xml:space="preserve">003 </v>
      </c>
      <c r="F426" t="s">
        <v>850</v>
      </c>
      <c r="G426" s="1">
        <v>6000</v>
      </c>
      <c r="H426" t="s">
        <v>33</v>
      </c>
      <c r="I426" t="s">
        <v>34</v>
      </c>
      <c r="J426" s="1">
        <v>784.61</v>
      </c>
    </row>
    <row r="427" spans="1:10" x14ac:dyDescent="0.25">
      <c r="A427" t="str">
        <f t="shared" si="26"/>
        <v>07/20/20</v>
      </c>
      <c r="B427" t="s">
        <v>851</v>
      </c>
      <c r="C427" t="str">
        <f t="shared" si="29"/>
        <v>21217</v>
      </c>
      <c r="D427" t="str">
        <f>"0084 "</f>
        <v xml:space="preserve">0084 </v>
      </c>
      <c r="E427" t="str">
        <f>"016 "</f>
        <v xml:space="preserve">016 </v>
      </c>
      <c r="F427" t="s">
        <v>852</v>
      </c>
      <c r="G427" s="1">
        <v>1000</v>
      </c>
      <c r="H427" t="s">
        <v>33</v>
      </c>
      <c r="I427" t="s">
        <v>15</v>
      </c>
      <c r="J427" s="1">
        <v>6038.81</v>
      </c>
    </row>
    <row r="428" spans="1:10" x14ac:dyDescent="0.25">
      <c r="A428" t="str">
        <f t="shared" si="26"/>
        <v>07/20/20</v>
      </c>
      <c r="B428" t="s">
        <v>853</v>
      </c>
      <c r="C428" t="str">
        <f t="shared" si="29"/>
        <v>21217</v>
      </c>
      <c r="D428" t="str">
        <f>"0084 "</f>
        <v xml:space="preserve">0084 </v>
      </c>
      <c r="E428" t="str">
        <f>"017 "</f>
        <v xml:space="preserve">017 </v>
      </c>
      <c r="F428" t="s">
        <v>852</v>
      </c>
      <c r="G428" s="1">
        <v>1000</v>
      </c>
      <c r="H428" t="s">
        <v>33</v>
      </c>
      <c r="I428" t="s">
        <v>15</v>
      </c>
      <c r="J428" s="1">
        <v>5857.3</v>
      </c>
    </row>
    <row r="429" spans="1:10" x14ac:dyDescent="0.25">
      <c r="A429" t="str">
        <f t="shared" si="26"/>
        <v>07/20/20</v>
      </c>
      <c r="B429" t="s">
        <v>854</v>
      </c>
      <c r="C429" t="str">
        <f t="shared" ref="C429:C434" si="30">"21223"</f>
        <v>21223</v>
      </c>
      <c r="D429" t="str">
        <f>"0720 "</f>
        <v xml:space="preserve">0720 </v>
      </c>
      <c r="E429" t="str">
        <f>"015 "</f>
        <v xml:space="preserve">015 </v>
      </c>
      <c r="F429" t="s">
        <v>855</v>
      </c>
      <c r="G429" s="1">
        <v>5700</v>
      </c>
      <c r="H429" t="s">
        <v>33</v>
      </c>
      <c r="I429" t="s">
        <v>34</v>
      </c>
      <c r="J429" s="1">
        <v>295383.17</v>
      </c>
    </row>
    <row r="430" spans="1:10" x14ac:dyDescent="0.25">
      <c r="A430" t="str">
        <f t="shared" si="26"/>
        <v>07/20/20</v>
      </c>
      <c r="B430" t="s">
        <v>856</v>
      </c>
      <c r="C430" t="str">
        <f t="shared" si="30"/>
        <v>21223</v>
      </c>
      <c r="D430" t="str">
        <f>"0291 "</f>
        <v xml:space="preserve">0291 </v>
      </c>
      <c r="E430" t="str">
        <f>"071 "</f>
        <v xml:space="preserve">071 </v>
      </c>
      <c r="F430" t="s">
        <v>857</v>
      </c>
      <c r="G430" s="1">
        <v>6000</v>
      </c>
      <c r="H430" t="s">
        <v>33</v>
      </c>
      <c r="I430" t="s">
        <v>15</v>
      </c>
      <c r="J430" s="1">
        <v>8543.5400000000009</v>
      </c>
    </row>
    <row r="431" spans="1:10" x14ac:dyDescent="0.25">
      <c r="A431" t="str">
        <f t="shared" si="26"/>
        <v>07/20/20</v>
      </c>
      <c r="B431" t="s">
        <v>858</v>
      </c>
      <c r="C431" t="str">
        <f t="shared" si="30"/>
        <v>21223</v>
      </c>
      <c r="D431" t="str">
        <f>"0120 "</f>
        <v xml:space="preserve">0120 </v>
      </c>
      <c r="E431" t="str">
        <f>"009 "</f>
        <v xml:space="preserve">009 </v>
      </c>
      <c r="F431" t="s">
        <v>859</v>
      </c>
      <c r="G431" s="1">
        <v>7000</v>
      </c>
      <c r="H431" t="s">
        <v>33</v>
      </c>
      <c r="I431" t="s">
        <v>34</v>
      </c>
      <c r="J431" s="1">
        <v>52452.09</v>
      </c>
    </row>
    <row r="432" spans="1:10" x14ac:dyDescent="0.25">
      <c r="A432" t="str">
        <f t="shared" si="26"/>
        <v>07/20/20</v>
      </c>
      <c r="B432" t="s">
        <v>860</v>
      </c>
      <c r="C432" t="str">
        <f t="shared" si="30"/>
        <v>21223</v>
      </c>
      <c r="D432" t="str">
        <f>"0121 "</f>
        <v xml:space="preserve">0121 </v>
      </c>
      <c r="E432" t="str">
        <f>"043 "</f>
        <v xml:space="preserve">043 </v>
      </c>
      <c r="F432" t="s">
        <v>861</v>
      </c>
      <c r="G432" s="1">
        <v>3000</v>
      </c>
      <c r="H432" t="s">
        <v>33</v>
      </c>
      <c r="I432" t="s">
        <v>34</v>
      </c>
      <c r="J432" s="1">
        <v>85820.83</v>
      </c>
    </row>
    <row r="433" spans="1:10" x14ac:dyDescent="0.25">
      <c r="A433" t="str">
        <f t="shared" si="26"/>
        <v>07/20/20</v>
      </c>
      <c r="B433" t="s">
        <v>862</v>
      </c>
      <c r="C433" t="str">
        <f t="shared" si="30"/>
        <v>21223</v>
      </c>
      <c r="D433" t="str">
        <f>"0148 "</f>
        <v xml:space="preserve">0148 </v>
      </c>
      <c r="E433" t="str">
        <f>"039 "</f>
        <v xml:space="preserve">039 </v>
      </c>
      <c r="F433" t="s">
        <v>863</v>
      </c>
      <c r="G433" s="1">
        <v>1000</v>
      </c>
      <c r="H433" t="s">
        <v>33</v>
      </c>
      <c r="I433" t="s">
        <v>15</v>
      </c>
      <c r="J433" s="1">
        <v>74222.81</v>
      </c>
    </row>
    <row r="434" spans="1:10" x14ac:dyDescent="0.25">
      <c r="A434" t="str">
        <f t="shared" si="26"/>
        <v>07/20/20</v>
      </c>
      <c r="B434" t="s">
        <v>864</v>
      </c>
      <c r="C434" t="str">
        <f t="shared" si="30"/>
        <v>21223</v>
      </c>
      <c r="D434" t="str">
        <f>"0121 "</f>
        <v xml:space="preserve">0121 </v>
      </c>
      <c r="E434" t="str">
        <f>"038 "</f>
        <v xml:space="preserve">038 </v>
      </c>
      <c r="F434" t="s">
        <v>865</v>
      </c>
      <c r="G434" s="1">
        <v>1000</v>
      </c>
      <c r="H434" t="s">
        <v>33</v>
      </c>
      <c r="I434" t="s">
        <v>15</v>
      </c>
      <c r="J434" s="1">
        <v>73675.399999999994</v>
      </c>
    </row>
    <row r="435" spans="1:10" x14ac:dyDescent="0.25">
      <c r="A435" t="str">
        <f t="shared" si="26"/>
        <v>07/20/20</v>
      </c>
      <c r="B435" t="s">
        <v>866</v>
      </c>
      <c r="C435" t="str">
        <f>"21217"</f>
        <v>21217</v>
      </c>
      <c r="D435" t="str">
        <f>"0109 "</f>
        <v xml:space="preserve">0109 </v>
      </c>
      <c r="E435" t="str">
        <f>"037 "</f>
        <v xml:space="preserve">037 </v>
      </c>
      <c r="F435" t="s">
        <v>867</v>
      </c>
      <c r="G435" s="1">
        <v>17000</v>
      </c>
      <c r="H435" t="s">
        <v>33</v>
      </c>
      <c r="I435" t="s">
        <v>15</v>
      </c>
      <c r="J435" s="1">
        <v>29200.38</v>
      </c>
    </row>
    <row r="436" spans="1:10" x14ac:dyDescent="0.25">
      <c r="A436" t="str">
        <f t="shared" si="26"/>
        <v>07/20/20</v>
      </c>
      <c r="B436" t="s">
        <v>868</v>
      </c>
      <c r="C436" t="str">
        <f>"21217"</f>
        <v>21217</v>
      </c>
      <c r="D436" t="str">
        <f>"0109 "</f>
        <v xml:space="preserve">0109 </v>
      </c>
      <c r="E436" t="str">
        <f>"030 "</f>
        <v xml:space="preserve">030 </v>
      </c>
      <c r="F436" t="s">
        <v>869</v>
      </c>
      <c r="G436" s="1">
        <v>1000</v>
      </c>
      <c r="H436" t="s">
        <v>33</v>
      </c>
      <c r="I436" t="s">
        <v>15</v>
      </c>
      <c r="J436" s="1">
        <v>124689.23</v>
      </c>
    </row>
    <row r="437" spans="1:10" x14ac:dyDescent="0.25">
      <c r="A437" t="str">
        <f t="shared" si="26"/>
        <v>07/20/20</v>
      </c>
      <c r="B437" t="s">
        <v>870</v>
      </c>
      <c r="C437" t="str">
        <f t="shared" ref="C437:C445" si="31">"21223"</f>
        <v>21223</v>
      </c>
      <c r="D437" t="str">
        <f>"0149 "</f>
        <v xml:space="preserve">0149 </v>
      </c>
      <c r="E437" t="str">
        <f>"062 "</f>
        <v xml:space="preserve">062 </v>
      </c>
      <c r="F437" t="s">
        <v>871</v>
      </c>
      <c r="G437" s="1">
        <v>2000</v>
      </c>
      <c r="H437" t="s">
        <v>33</v>
      </c>
      <c r="I437" t="s">
        <v>15</v>
      </c>
      <c r="J437" s="1">
        <v>109665.59</v>
      </c>
    </row>
    <row r="438" spans="1:10" x14ac:dyDescent="0.25">
      <c r="A438" t="str">
        <f t="shared" si="26"/>
        <v>07/20/20</v>
      </c>
      <c r="B438" t="s">
        <v>872</v>
      </c>
      <c r="C438" t="str">
        <f t="shared" si="31"/>
        <v>21223</v>
      </c>
      <c r="D438" t="str">
        <f>"0149 "</f>
        <v xml:space="preserve">0149 </v>
      </c>
      <c r="E438" t="str">
        <f>"063 "</f>
        <v xml:space="preserve">063 </v>
      </c>
      <c r="F438" t="s">
        <v>873</v>
      </c>
      <c r="G438" s="1">
        <v>2000</v>
      </c>
      <c r="H438" t="s">
        <v>33</v>
      </c>
      <c r="I438" t="s">
        <v>15</v>
      </c>
      <c r="J438" s="1">
        <v>53564.56</v>
      </c>
    </row>
    <row r="439" spans="1:10" x14ac:dyDescent="0.25">
      <c r="A439" t="str">
        <f t="shared" si="26"/>
        <v>07/20/20</v>
      </c>
      <c r="B439" t="s">
        <v>874</v>
      </c>
      <c r="C439" t="str">
        <f t="shared" si="31"/>
        <v>21223</v>
      </c>
      <c r="D439" t="str">
        <f>"0179 "</f>
        <v xml:space="preserve">0179 </v>
      </c>
      <c r="E439" t="str">
        <f>"020 "</f>
        <v xml:space="preserve">020 </v>
      </c>
      <c r="F439" t="s">
        <v>875</v>
      </c>
      <c r="G439" s="1">
        <v>3000</v>
      </c>
      <c r="H439" t="s">
        <v>33</v>
      </c>
      <c r="I439" t="s">
        <v>15</v>
      </c>
      <c r="J439" s="1">
        <v>146198.6</v>
      </c>
    </row>
    <row r="440" spans="1:10" x14ac:dyDescent="0.25">
      <c r="A440" t="str">
        <f t="shared" si="26"/>
        <v>07/20/20</v>
      </c>
      <c r="B440" t="s">
        <v>876</v>
      </c>
      <c r="C440" t="str">
        <f t="shared" si="31"/>
        <v>21223</v>
      </c>
      <c r="D440" t="str">
        <f>"0164 "</f>
        <v xml:space="preserve">0164 </v>
      </c>
      <c r="E440" t="str">
        <f>"011 "</f>
        <v xml:space="preserve">011 </v>
      </c>
      <c r="F440" t="s">
        <v>877</v>
      </c>
      <c r="G440" s="1">
        <v>10200</v>
      </c>
      <c r="H440" t="s">
        <v>33</v>
      </c>
      <c r="I440" t="s">
        <v>15</v>
      </c>
      <c r="J440" s="1">
        <v>117265.38</v>
      </c>
    </row>
    <row r="441" spans="1:10" x14ac:dyDescent="0.25">
      <c r="A441" t="str">
        <f t="shared" si="26"/>
        <v>07/20/20</v>
      </c>
      <c r="B441" t="s">
        <v>878</v>
      </c>
      <c r="C441" t="str">
        <f t="shared" si="31"/>
        <v>21223</v>
      </c>
      <c r="D441" t="str">
        <f>"0164 "</f>
        <v xml:space="preserve">0164 </v>
      </c>
      <c r="E441" t="str">
        <f>"010 "</f>
        <v xml:space="preserve">010 </v>
      </c>
      <c r="F441" t="s">
        <v>879</v>
      </c>
      <c r="G441" s="1">
        <v>10200</v>
      </c>
      <c r="H441" t="s">
        <v>33</v>
      </c>
      <c r="I441" t="s">
        <v>15</v>
      </c>
      <c r="J441" s="1">
        <v>67242.41</v>
      </c>
    </row>
    <row r="442" spans="1:10" x14ac:dyDescent="0.25">
      <c r="A442" t="str">
        <f t="shared" si="26"/>
        <v>07/20/20</v>
      </c>
      <c r="B442" t="s">
        <v>880</v>
      </c>
      <c r="C442" t="str">
        <f t="shared" si="31"/>
        <v>21223</v>
      </c>
      <c r="D442" t="str">
        <f>"0179 "</f>
        <v xml:space="preserve">0179 </v>
      </c>
      <c r="E442" t="str">
        <f>"019 "</f>
        <v xml:space="preserve">019 </v>
      </c>
      <c r="F442" t="s">
        <v>881</v>
      </c>
      <c r="G442" s="1">
        <v>3000</v>
      </c>
      <c r="H442" t="s">
        <v>33</v>
      </c>
      <c r="I442" t="s">
        <v>15</v>
      </c>
      <c r="J442" s="1">
        <v>39181.42</v>
      </c>
    </row>
    <row r="443" spans="1:10" x14ac:dyDescent="0.25">
      <c r="A443" t="str">
        <f t="shared" si="26"/>
        <v>07/20/20</v>
      </c>
      <c r="B443" t="s">
        <v>882</v>
      </c>
      <c r="C443" t="str">
        <f t="shared" si="31"/>
        <v>21223</v>
      </c>
      <c r="D443" t="str">
        <f>"0164 "</f>
        <v xml:space="preserve">0164 </v>
      </c>
      <c r="E443" t="str">
        <f>"005 "</f>
        <v xml:space="preserve">005 </v>
      </c>
      <c r="F443" t="s">
        <v>883</v>
      </c>
      <c r="G443" s="1">
        <v>1000</v>
      </c>
      <c r="H443" t="s">
        <v>33</v>
      </c>
      <c r="I443" t="s">
        <v>15</v>
      </c>
      <c r="J443" s="1">
        <v>117106.46</v>
      </c>
    </row>
    <row r="444" spans="1:10" x14ac:dyDescent="0.25">
      <c r="A444" t="str">
        <f t="shared" si="26"/>
        <v>07/20/20</v>
      </c>
      <c r="B444" t="s">
        <v>884</v>
      </c>
      <c r="C444" t="str">
        <f t="shared" si="31"/>
        <v>21223</v>
      </c>
      <c r="D444" t="str">
        <f>"0163 "</f>
        <v xml:space="preserve">0163 </v>
      </c>
      <c r="E444" t="str">
        <f>"060 "</f>
        <v xml:space="preserve">060 </v>
      </c>
      <c r="F444" t="s">
        <v>885</v>
      </c>
      <c r="G444" s="1">
        <v>2000</v>
      </c>
      <c r="H444" t="s">
        <v>33</v>
      </c>
      <c r="I444" t="s">
        <v>15</v>
      </c>
      <c r="J444" s="1">
        <v>44817.02</v>
      </c>
    </row>
    <row r="445" spans="1:10" x14ac:dyDescent="0.25">
      <c r="A445" t="str">
        <f t="shared" si="26"/>
        <v>07/20/20</v>
      </c>
      <c r="B445" t="s">
        <v>886</v>
      </c>
      <c r="C445" t="str">
        <f t="shared" si="31"/>
        <v>21223</v>
      </c>
      <c r="D445" t="str">
        <f>"0260 "</f>
        <v xml:space="preserve">0260 </v>
      </c>
      <c r="E445" t="str">
        <f>"077 "</f>
        <v xml:space="preserve">077 </v>
      </c>
      <c r="F445" t="s">
        <v>887</v>
      </c>
      <c r="G445" s="1">
        <v>6000</v>
      </c>
      <c r="H445" t="s">
        <v>33</v>
      </c>
      <c r="I445" t="s">
        <v>15</v>
      </c>
      <c r="J445" s="1">
        <v>71412.850000000006</v>
      </c>
    </row>
    <row r="446" spans="1:10" x14ac:dyDescent="0.25">
      <c r="A446" t="str">
        <f t="shared" si="26"/>
        <v>07/20/20</v>
      </c>
      <c r="B446" t="s">
        <v>888</v>
      </c>
      <c r="C446" t="str">
        <f>"21217"</f>
        <v>21217</v>
      </c>
      <c r="D446" t="str">
        <f>"0009 "</f>
        <v xml:space="preserve">0009 </v>
      </c>
      <c r="E446" t="str">
        <f>"001 "</f>
        <v xml:space="preserve">001 </v>
      </c>
      <c r="F446" t="s">
        <v>889</v>
      </c>
      <c r="G446" s="1">
        <v>1000</v>
      </c>
      <c r="H446" t="s">
        <v>33</v>
      </c>
      <c r="I446" t="s">
        <v>15</v>
      </c>
      <c r="J446" s="1">
        <v>68225.03</v>
      </c>
    </row>
    <row r="447" spans="1:10" x14ac:dyDescent="0.25">
      <c r="A447" t="str">
        <f t="shared" si="26"/>
        <v>07/20/20</v>
      </c>
      <c r="B447" t="s">
        <v>890</v>
      </c>
      <c r="C447" t="str">
        <f>"21217"</f>
        <v>21217</v>
      </c>
      <c r="D447" t="str">
        <f>"0026 "</f>
        <v xml:space="preserve">0026 </v>
      </c>
      <c r="E447" t="str">
        <f>"011 "</f>
        <v xml:space="preserve">011 </v>
      </c>
      <c r="F447" t="s">
        <v>891</v>
      </c>
      <c r="G447" s="1">
        <v>1000</v>
      </c>
      <c r="H447" t="s">
        <v>33</v>
      </c>
      <c r="I447" t="s">
        <v>15</v>
      </c>
      <c r="J447" s="1">
        <v>7047.66</v>
      </c>
    </row>
    <row r="448" spans="1:10" x14ac:dyDescent="0.25">
      <c r="A448" t="str">
        <f t="shared" si="26"/>
        <v>07/20/20</v>
      </c>
      <c r="B448" t="s">
        <v>892</v>
      </c>
      <c r="C448" t="str">
        <f t="shared" ref="C448:C453" si="32">"21223"</f>
        <v>21223</v>
      </c>
      <c r="D448" t="str">
        <f>"0271 "</f>
        <v xml:space="preserve">0271 </v>
      </c>
      <c r="E448" t="str">
        <f>"066 "</f>
        <v xml:space="preserve">066 </v>
      </c>
      <c r="F448" t="s">
        <v>893</v>
      </c>
      <c r="G448" s="1">
        <v>6000</v>
      </c>
      <c r="H448" t="s">
        <v>33</v>
      </c>
      <c r="I448" t="s">
        <v>15</v>
      </c>
      <c r="J448" s="1">
        <v>26079.45</v>
      </c>
    </row>
    <row r="449" spans="1:10" x14ac:dyDescent="0.25">
      <c r="A449" t="str">
        <f t="shared" si="26"/>
        <v>07/20/20</v>
      </c>
      <c r="B449" t="s">
        <v>894</v>
      </c>
      <c r="C449" t="str">
        <f t="shared" si="32"/>
        <v>21223</v>
      </c>
      <c r="D449" t="str">
        <f>"0271 "</f>
        <v xml:space="preserve">0271 </v>
      </c>
      <c r="E449" t="str">
        <f>"065 "</f>
        <v xml:space="preserve">065 </v>
      </c>
      <c r="F449" t="s">
        <v>895</v>
      </c>
      <c r="G449" s="1">
        <v>6000</v>
      </c>
      <c r="H449" t="s">
        <v>33</v>
      </c>
      <c r="I449" t="s">
        <v>15</v>
      </c>
      <c r="J449" s="1">
        <v>8030.58</v>
      </c>
    </row>
    <row r="450" spans="1:10" x14ac:dyDescent="0.25">
      <c r="A450" t="str">
        <f t="shared" si="26"/>
        <v>07/20/20</v>
      </c>
      <c r="B450" t="s">
        <v>896</v>
      </c>
      <c r="C450" t="str">
        <f t="shared" si="32"/>
        <v>21223</v>
      </c>
      <c r="D450" t="str">
        <f>"0239 "</f>
        <v xml:space="preserve">0239 </v>
      </c>
      <c r="E450" t="str">
        <f>"029 "</f>
        <v xml:space="preserve">029 </v>
      </c>
      <c r="F450" t="s">
        <v>897</v>
      </c>
      <c r="G450" s="1">
        <v>25000</v>
      </c>
      <c r="H450" t="s">
        <v>33</v>
      </c>
      <c r="I450" t="s">
        <v>15</v>
      </c>
      <c r="J450" s="1">
        <v>53457.58</v>
      </c>
    </row>
    <row r="451" spans="1:10" x14ac:dyDescent="0.25">
      <c r="A451" t="str">
        <f t="shared" ref="A451:A514" si="33">"07/20/20"</f>
        <v>07/20/20</v>
      </c>
      <c r="B451" t="s">
        <v>898</v>
      </c>
      <c r="C451" t="str">
        <f t="shared" si="32"/>
        <v>21223</v>
      </c>
      <c r="D451" t="str">
        <f>"0288 "</f>
        <v xml:space="preserve">0288 </v>
      </c>
      <c r="E451" t="str">
        <f>"029 "</f>
        <v xml:space="preserve">029 </v>
      </c>
      <c r="F451" t="s">
        <v>211</v>
      </c>
      <c r="G451" s="1">
        <v>6000</v>
      </c>
      <c r="H451" t="s">
        <v>33</v>
      </c>
      <c r="I451" t="s">
        <v>34</v>
      </c>
      <c r="J451" s="1">
        <v>10665.2</v>
      </c>
    </row>
    <row r="452" spans="1:10" x14ac:dyDescent="0.25">
      <c r="A452" t="str">
        <f t="shared" si="33"/>
        <v>07/20/20</v>
      </c>
      <c r="B452" t="s">
        <v>899</v>
      </c>
      <c r="C452" t="str">
        <f t="shared" si="32"/>
        <v>21223</v>
      </c>
      <c r="D452" t="str">
        <f>"0288 "</f>
        <v xml:space="preserve">0288 </v>
      </c>
      <c r="E452" t="str">
        <f>"056 "</f>
        <v xml:space="preserve">056 </v>
      </c>
      <c r="F452" t="s">
        <v>900</v>
      </c>
      <c r="G452" s="1">
        <v>6000</v>
      </c>
      <c r="H452" t="s">
        <v>33</v>
      </c>
      <c r="I452" t="s">
        <v>34</v>
      </c>
      <c r="J452" s="1">
        <v>2474.86</v>
      </c>
    </row>
    <row r="453" spans="1:10" x14ac:dyDescent="0.25">
      <c r="A453" t="str">
        <f t="shared" si="33"/>
        <v>07/20/20</v>
      </c>
      <c r="B453" t="s">
        <v>901</v>
      </c>
      <c r="C453" t="str">
        <f t="shared" si="32"/>
        <v>21223</v>
      </c>
      <c r="D453" t="str">
        <f>"0288 "</f>
        <v xml:space="preserve">0288 </v>
      </c>
      <c r="E453" t="str">
        <f>"063 "</f>
        <v xml:space="preserve">063 </v>
      </c>
      <c r="F453" t="s">
        <v>902</v>
      </c>
      <c r="G453" s="1">
        <v>6000</v>
      </c>
      <c r="H453" t="s">
        <v>33</v>
      </c>
      <c r="I453" t="s">
        <v>34</v>
      </c>
      <c r="J453" s="1">
        <v>10766.74</v>
      </c>
    </row>
    <row r="454" spans="1:10" x14ac:dyDescent="0.25">
      <c r="A454" t="str">
        <f t="shared" si="33"/>
        <v>07/20/20</v>
      </c>
      <c r="B454" t="s">
        <v>903</v>
      </c>
      <c r="C454" t="str">
        <f>"21215"</f>
        <v>21215</v>
      </c>
      <c r="D454" t="str">
        <f>"4577A"</f>
        <v>4577A</v>
      </c>
      <c r="E454" t="str">
        <f>"007 "</f>
        <v xml:space="preserve">007 </v>
      </c>
      <c r="F454" t="s">
        <v>904</v>
      </c>
      <c r="G454" s="1">
        <v>30000</v>
      </c>
      <c r="H454" t="s">
        <v>14</v>
      </c>
      <c r="I454" t="s">
        <v>15</v>
      </c>
      <c r="J454" s="1">
        <v>18350.099999999999</v>
      </c>
    </row>
    <row r="455" spans="1:10" x14ac:dyDescent="0.25">
      <c r="A455" t="str">
        <f t="shared" si="33"/>
        <v>07/20/20</v>
      </c>
      <c r="B455" t="s">
        <v>905</v>
      </c>
      <c r="C455" t="str">
        <f>"21215"</f>
        <v>21215</v>
      </c>
      <c r="D455" t="str">
        <f>"4612 "</f>
        <v xml:space="preserve">4612 </v>
      </c>
      <c r="E455" t="str">
        <f>"011 "</f>
        <v xml:space="preserve">011 </v>
      </c>
      <c r="F455" t="s">
        <v>906</v>
      </c>
      <c r="G455" s="1">
        <v>5000</v>
      </c>
      <c r="H455" t="s">
        <v>14</v>
      </c>
      <c r="I455" t="s">
        <v>15</v>
      </c>
      <c r="J455" s="1">
        <v>16848.14</v>
      </c>
    </row>
    <row r="456" spans="1:10" x14ac:dyDescent="0.25">
      <c r="A456" t="str">
        <f t="shared" si="33"/>
        <v>07/20/20</v>
      </c>
      <c r="B456" t="s">
        <v>907</v>
      </c>
      <c r="C456" t="str">
        <f>"21215"</f>
        <v>21215</v>
      </c>
      <c r="D456" t="str">
        <f>"2718 "</f>
        <v xml:space="preserve">2718 </v>
      </c>
      <c r="E456" t="str">
        <f>"005 "</f>
        <v xml:space="preserve">005 </v>
      </c>
      <c r="F456" t="s">
        <v>908</v>
      </c>
      <c r="G456" s="1">
        <v>146000</v>
      </c>
      <c r="H456" t="s">
        <v>91</v>
      </c>
      <c r="I456" t="s">
        <v>34</v>
      </c>
      <c r="J456" s="1">
        <v>34515.75</v>
      </c>
    </row>
    <row r="457" spans="1:10" x14ac:dyDescent="0.25">
      <c r="A457" t="str">
        <f t="shared" si="33"/>
        <v>07/20/20</v>
      </c>
      <c r="B457" t="s">
        <v>909</v>
      </c>
      <c r="C457" t="str">
        <f>"21216"</f>
        <v>21216</v>
      </c>
      <c r="D457" t="str">
        <f>"3057 "</f>
        <v xml:space="preserve">3057 </v>
      </c>
      <c r="E457" t="str">
        <f>"008 "</f>
        <v xml:space="preserve">008 </v>
      </c>
      <c r="F457" t="s">
        <v>910</v>
      </c>
      <c r="G457" s="1">
        <v>4500</v>
      </c>
      <c r="H457" t="s">
        <v>911</v>
      </c>
      <c r="I457" t="s">
        <v>15</v>
      </c>
      <c r="J457" s="1">
        <v>7400.47</v>
      </c>
    </row>
    <row r="458" spans="1:10" x14ac:dyDescent="0.25">
      <c r="A458" t="str">
        <f t="shared" si="33"/>
        <v>07/20/20</v>
      </c>
      <c r="B458" t="s">
        <v>912</v>
      </c>
      <c r="C458" t="str">
        <f>"21215"</f>
        <v>21215</v>
      </c>
      <c r="D458" t="str">
        <f>"2710 "</f>
        <v xml:space="preserve">2710 </v>
      </c>
      <c r="E458" t="str">
        <f>"039 "</f>
        <v xml:space="preserve">039 </v>
      </c>
      <c r="F458" t="s">
        <v>913</v>
      </c>
      <c r="G458" s="1">
        <v>191400</v>
      </c>
      <c r="H458" t="s">
        <v>91</v>
      </c>
      <c r="I458" t="s">
        <v>15</v>
      </c>
      <c r="J458" s="1">
        <v>108825.34</v>
      </c>
    </row>
    <row r="459" spans="1:10" x14ac:dyDescent="0.25">
      <c r="A459" t="str">
        <f t="shared" si="33"/>
        <v>07/20/20</v>
      </c>
      <c r="B459" t="s">
        <v>914</v>
      </c>
      <c r="C459" t="str">
        <f>"21217"</f>
        <v>21217</v>
      </c>
      <c r="D459" t="str">
        <f>"0016 "</f>
        <v xml:space="preserve">0016 </v>
      </c>
      <c r="E459" t="str">
        <f>"023 "</f>
        <v xml:space="preserve">023 </v>
      </c>
      <c r="F459" t="s">
        <v>915</v>
      </c>
      <c r="G459" s="1">
        <v>36000</v>
      </c>
      <c r="H459" t="s">
        <v>33</v>
      </c>
      <c r="I459" t="s">
        <v>15</v>
      </c>
      <c r="J459" s="1">
        <v>19208.310000000001</v>
      </c>
    </row>
    <row r="460" spans="1:10" x14ac:dyDescent="0.25">
      <c r="A460" t="str">
        <f t="shared" si="33"/>
        <v>07/20/20</v>
      </c>
      <c r="B460" t="s">
        <v>916</v>
      </c>
      <c r="C460" t="str">
        <f>"21217"</f>
        <v>21217</v>
      </c>
      <c r="D460" t="str">
        <f>"0053 "</f>
        <v xml:space="preserve">0053 </v>
      </c>
      <c r="E460" t="str">
        <f>"001 "</f>
        <v xml:space="preserve">001 </v>
      </c>
      <c r="F460" t="s">
        <v>917</v>
      </c>
      <c r="G460" s="1">
        <v>1000</v>
      </c>
      <c r="H460" t="s">
        <v>33</v>
      </c>
      <c r="I460" t="s">
        <v>15</v>
      </c>
      <c r="J460" s="1">
        <v>17991.22</v>
      </c>
    </row>
    <row r="461" spans="1:10" x14ac:dyDescent="0.25">
      <c r="A461" t="str">
        <f t="shared" si="33"/>
        <v>07/20/20</v>
      </c>
      <c r="B461" t="s">
        <v>918</v>
      </c>
      <c r="C461" t="str">
        <f>"21217"</f>
        <v>21217</v>
      </c>
      <c r="D461" t="str">
        <f>"0042 "</f>
        <v xml:space="preserve">0042 </v>
      </c>
      <c r="E461" t="str">
        <f>"019 "</f>
        <v xml:space="preserve">019 </v>
      </c>
      <c r="F461" t="s">
        <v>919</v>
      </c>
      <c r="G461" s="1">
        <v>1000</v>
      </c>
      <c r="H461" t="s">
        <v>33</v>
      </c>
      <c r="I461" t="s">
        <v>15</v>
      </c>
      <c r="J461" s="1">
        <v>132469.39000000001</v>
      </c>
    </row>
    <row r="462" spans="1:10" x14ac:dyDescent="0.25">
      <c r="A462" t="str">
        <f t="shared" si="33"/>
        <v>07/20/20</v>
      </c>
      <c r="B462" t="s">
        <v>920</v>
      </c>
      <c r="C462" t="str">
        <f>"21216"</f>
        <v>21216</v>
      </c>
      <c r="D462" t="str">
        <f>"2377C"</f>
        <v>2377C</v>
      </c>
      <c r="E462" t="str">
        <f>"042 "</f>
        <v xml:space="preserve">042 </v>
      </c>
      <c r="F462" t="s">
        <v>921</v>
      </c>
      <c r="G462" s="1">
        <v>7000</v>
      </c>
      <c r="H462" t="s">
        <v>33</v>
      </c>
      <c r="I462" t="s">
        <v>34</v>
      </c>
      <c r="J462" s="1">
        <v>7185.44</v>
      </c>
    </row>
    <row r="463" spans="1:10" x14ac:dyDescent="0.25">
      <c r="A463" t="str">
        <f t="shared" si="33"/>
        <v>07/20/20</v>
      </c>
      <c r="B463" t="s">
        <v>922</v>
      </c>
      <c r="C463" t="str">
        <f>"21205"</f>
        <v>21205</v>
      </c>
      <c r="D463" t="str">
        <f>"1642 "</f>
        <v xml:space="preserve">1642 </v>
      </c>
      <c r="E463" t="str">
        <f>"093 "</f>
        <v xml:space="preserve">093 </v>
      </c>
      <c r="F463" t="s">
        <v>923</v>
      </c>
      <c r="G463" s="1">
        <v>10200</v>
      </c>
      <c r="H463" t="s">
        <v>33</v>
      </c>
      <c r="I463" t="s">
        <v>15</v>
      </c>
      <c r="J463" s="1">
        <v>2599.2600000000002</v>
      </c>
    </row>
    <row r="464" spans="1:10" x14ac:dyDescent="0.25">
      <c r="A464" t="str">
        <f t="shared" si="33"/>
        <v>07/20/20</v>
      </c>
      <c r="B464" t="s">
        <v>924</v>
      </c>
      <c r="C464" t="str">
        <f>"21223"</f>
        <v>21223</v>
      </c>
      <c r="D464" t="str">
        <f>"2153 "</f>
        <v xml:space="preserve">2153 </v>
      </c>
      <c r="E464" t="str">
        <f>"065 "</f>
        <v xml:space="preserve">065 </v>
      </c>
      <c r="F464" t="s">
        <v>925</v>
      </c>
      <c r="G464" s="1">
        <v>3000</v>
      </c>
      <c r="H464" t="s">
        <v>33</v>
      </c>
      <c r="I464" t="s">
        <v>34</v>
      </c>
      <c r="J464" s="1">
        <v>5453.64</v>
      </c>
    </row>
    <row r="465" spans="1:10" x14ac:dyDescent="0.25">
      <c r="A465" t="str">
        <f t="shared" si="33"/>
        <v>07/20/20</v>
      </c>
      <c r="B465" t="s">
        <v>926</v>
      </c>
      <c r="C465" t="str">
        <f>"21218"</f>
        <v>21218</v>
      </c>
      <c r="D465" t="str">
        <f>"4129 "</f>
        <v xml:space="preserve">4129 </v>
      </c>
      <c r="E465" t="str">
        <f>"017 "</f>
        <v xml:space="preserve">017 </v>
      </c>
      <c r="F465" t="s">
        <v>927</v>
      </c>
      <c r="G465" s="1">
        <v>15000</v>
      </c>
      <c r="H465" t="s">
        <v>14</v>
      </c>
      <c r="I465" t="s">
        <v>15</v>
      </c>
      <c r="J465" s="1">
        <v>44780.959999999999</v>
      </c>
    </row>
    <row r="466" spans="1:10" x14ac:dyDescent="0.25">
      <c r="A466" t="str">
        <f t="shared" si="33"/>
        <v>07/20/20</v>
      </c>
      <c r="B466" t="s">
        <v>928</v>
      </c>
      <c r="C466" t="str">
        <f>"21215"</f>
        <v>21215</v>
      </c>
      <c r="D466" t="str">
        <f>"3186 "</f>
        <v xml:space="preserve">3186 </v>
      </c>
      <c r="E466" t="str">
        <f>"031 "</f>
        <v xml:space="preserve">031 </v>
      </c>
      <c r="F466" t="s">
        <v>929</v>
      </c>
      <c r="G466" s="1">
        <v>31000</v>
      </c>
      <c r="H466" t="s">
        <v>14</v>
      </c>
      <c r="I466" t="s">
        <v>15</v>
      </c>
      <c r="J466" s="1">
        <v>16882.96</v>
      </c>
    </row>
    <row r="467" spans="1:10" x14ac:dyDescent="0.25">
      <c r="A467" t="str">
        <f t="shared" si="33"/>
        <v>07/20/20</v>
      </c>
      <c r="B467" t="s">
        <v>930</v>
      </c>
      <c r="C467" t="str">
        <f t="shared" ref="C467:C474" si="34">"21218"</f>
        <v>21218</v>
      </c>
      <c r="D467" t="str">
        <f>"3825 "</f>
        <v xml:space="preserve">3825 </v>
      </c>
      <c r="E467" t="str">
        <f>"023 "</f>
        <v xml:space="preserve">023 </v>
      </c>
      <c r="F467" t="s">
        <v>931</v>
      </c>
      <c r="G467" s="1">
        <v>1000</v>
      </c>
      <c r="H467" t="s">
        <v>142</v>
      </c>
      <c r="I467" t="s">
        <v>15</v>
      </c>
      <c r="J467" s="1">
        <v>8072.1</v>
      </c>
    </row>
    <row r="468" spans="1:10" x14ac:dyDescent="0.25">
      <c r="A468" t="str">
        <f t="shared" si="33"/>
        <v>07/20/20</v>
      </c>
      <c r="B468" t="s">
        <v>932</v>
      </c>
      <c r="C468" t="str">
        <f t="shared" si="34"/>
        <v>21218</v>
      </c>
      <c r="D468" t="str">
        <f>"3836B"</f>
        <v>3836B</v>
      </c>
      <c r="E468" t="str">
        <f>"006 "</f>
        <v xml:space="preserve">006 </v>
      </c>
      <c r="F468" t="s">
        <v>933</v>
      </c>
      <c r="G468" s="1">
        <v>316100</v>
      </c>
      <c r="H468" t="s">
        <v>142</v>
      </c>
      <c r="I468" t="s">
        <v>15</v>
      </c>
      <c r="J468" s="1">
        <v>190368.53</v>
      </c>
    </row>
    <row r="469" spans="1:10" x14ac:dyDescent="0.25">
      <c r="A469" t="str">
        <f t="shared" si="33"/>
        <v>07/20/20</v>
      </c>
      <c r="B469" t="s">
        <v>934</v>
      </c>
      <c r="C469" t="str">
        <f t="shared" si="34"/>
        <v>21218</v>
      </c>
      <c r="D469" t="str">
        <f>"3836A"</f>
        <v>3836A</v>
      </c>
      <c r="E469" t="str">
        <f>"007 "</f>
        <v xml:space="preserve">007 </v>
      </c>
      <c r="F469" t="s">
        <v>935</v>
      </c>
      <c r="G469" s="1">
        <v>2300</v>
      </c>
      <c r="H469" t="s">
        <v>142</v>
      </c>
      <c r="I469" t="s">
        <v>15</v>
      </c>
      <c r="J469" s="1">
        <v>93837.95</v>
      </c>
    </row>
    <row r="470" spans="1:10" x14ac:dyDescent="0.25">
      <c r="A470" t="str">
        <f t="shared" si="33"/>
        <v>07/20/20</v>
      </c>
      <c r="B470" t="s">
        <v>936</v>
      </c>
      <c r="C470" t="str">
        <f t="shared" si="34"/>
        <v>21218</v>
      </c>
      <c r="D470" t="str">
        <f>"3836A"</f>
        <v>3836A</v>
      </c>
      <c r="E470" t="str">
        <f>"005 "</f>
        <v xml:space="preserve">005 </v>
      </c>
      <c r="F470" t="s">
        <v>937</v>
      </c>
      <c r="G470" s="1">
        <v>2300</v>
      </c>
      <c r="H470" t="s">
        <v>142</v>
      </c>
      <c r="I470" t="s">
        <v>15</v>
      </c>
      <c r="J470" s="1">
        <v>264244.5</v>
      </c>
    </row>
    <row r="471" spans="1:10" x14ac:dyDescent="0.25">
      <c r="A471" t="str">
        <f t="shared" si="33"/>
        <v>07/20/20</v>
      </c>
      <c r="B471" t="s">
        <v>938</v>
      </c>
      <c r="C471" t="str">
        <f t="shared" si="34"/>
        <v>21218</v>
      </c>
      <c r="D471" t="str">
        <f>"4019 "</f>
        <v xml:space="preserve">4019 </v>
      </c>
      <c r="E471" t="str">
        <f>"043 "</f>
        <v xml:space="preserve">043 </v>
      </c>
      <c r="F471" t="s">
        <v>939</v>
      </c>
      <c r="G471" s="1">
        <v>1000</v>
      </c>
      <c r="H471" t="s">
        <v>33</v>
      </c>
      <c r="I471" t="s">
        <v>15</v>
      </c>
      <c r="J471" s="1">
        <v>25640.22</v>
      </c>
    </row>
    <row r="472" spans="1:10" x14ac:dyDescent="0.25">
      <c r="A472" t="str">
        <f t="shared" si="33"/>
        <v>07/20/20</v>
      </c>
      <c r="B472" t="s">
        <v>940</v>
      </c>
      <c r="C472" t="str">
        <f t="shared" si="34"/>
        <v>21218</v>
      </c>
      <c r="D472" t="str">
        <f>"3816 "</f>
        <v xml:space="preserve">3816 </v>
      </c>
      <c r="E472" t="str">
        <f>"032 "</f>
        <v xml:space="preserve">032 </v>
      </c>
      <c r="F472" t="s">
        <v>941</v>
      </c>
      <c r="G472" s="1">
        <v>60000</v>
      </c>
      <c r="H472" t="s">
        <v>33</v>
      </c>
      <c r="I472" t="s">
        <v>15</v>
      </c>
      <c r="J472" s="1">
        <v>132424.21</v>
      </c>
    </row>
    <row r="473" spans="1:10" x14ac:dyDescent="0.25">
      <c r="A473" t="str">
        <f t="shared" si="33"/>
        <v>07/20/20</v>
      </c>
      <c r="B473" t="s">
        <v>942</v>
      </c>
      <c r="C473" t="str">
        <f t="shared" si="34"/>
        <v>21218</v>
      </c>
      <c r="D473" t="str">
        <f>"4061 "</f>
        <v xml:space="preserve">4061 </v>
      </c>
      <c r="E473" t="str">
        <f>"016 "</f>
        <v xml:space="preserve">016 </v>
      </c>
      <c r="F473" t="s">
        <v>943</v>
      </c>
      <c r="G473" s="1">
        <v>1000</v>
      </c>
      <c r="H473" t="s">
        <v>33</v>
      </c>
      <c r="I473" t="s">
        <v>15</v>
      </c>
      <c r="J473" s="1">
        <v>88031.02</v>
      </c>
    </row>
    <row r="474" spans="1:10" x14ac:dyDescent="0.25">
      <c r="A474" t="str">
        <f t="shared" si="33"/>
        <v>07/20/20</v>
      </c>
      <c r="B474" t="s">
        <v>944</v>
      </c>
      <c r="C474" t="str">
        <f t="shared" si="34"/>
        <v>21218</v>
      </c>
      <c r="D474" t="str">
        <f>"4061 "</f>
        <v xml:space="preserve">4061 </v>
      </c>
      <c r="E474" t="str">
        <f>"017 "</f>
        <v xml:space="preserve">017 </v>
      </c>
      <c r="F474" t="s">
        <v>945</v>
      </c>
      <c r="G474" s="1">
        <v>1000</v>
      </c>
      <c r="H474" t="s">
        <v>33</v>
      </c>
      <c r="I474" t="s">
        <v>15</v>
      </c>
      <c r="J474" s="1">
        <v>8298.69</v>
      </c>
    </row>
    <row r="475" spans="1:10" x14ac:dyDescent="0.25">
      <c r="A475" t="str">
        <f t="shared" si="33"/>
        <v>07/20/20</v>
      </c>
      <c r="B475" t="s">
        <v>946</v>
      </c>
      <c r="C475" t="str">
        <f>"21229"</f>
        <v>21229</v>
      </c>
      <c r="D475" t="str">
        <f>"2281 "</f>
        <v xml:space="preserve">2281 </v>
      </c>
      <c r="E475" t="str">
        <f>"081 "</f>
        <v xml:space="preserve">081 </v>
      </c>
      <c r="F475" t="s">
        <v>947</v>
      </c>
      <c r="G475" s="1">
        <v>73200</v>
      </c>
      <c r="H475" t="s">
        <v>30</v>
      </c>
      <c r="I475" t="s">
        <v>34</v>
      </c>
      <c r="J475" s="1">
        <v>42732.68</v>
      </c>
    </row>
    <row r="476" spans="1:10" x14ac:dyDescent="0.25">
      <c r="A476" t="str">
        <f t="shared" si="33"/>
        <v>07/20/20</v>
      </c>
      <c r="B476" t="s">
        <v>948</v>
      </c>
      <c r="C476" t="str">
        <f>"21223"</f>
        <v>21223</v>
      </c>
      <c r="D476" t="str">
        <f>"2178 "</f>
        <v xml:space="preserve">2178 </v>
      </c>
      <c r="E476" t="str">
        <f>"009 "</f>
        <v xml:space="preserve">009 </v>
      </c>
      <c r="F476" t="s">
        <v>949</v>
      </c>
      <c r="G476" s="1">
        <v>16200</v>
      </c>
      <c r="H476" t="s">
        <v>950</v>
      </c>
      <c r="I476" t="s">
        <v>34</v>
      </c>
      <c r="J476" s="1">
        <v>12723.53</v>
      </c>
    </row>
    <row r="477" spans="1:10" x14ac:dyDescent="0.25">
      <c r="A477" t="str">
        <f t="shared" si="33"/>
        <v>07/20/20</v>
      </c>
      <c r="B477" t="s">
        <v>951</v>
      </c>
      <c r="C477" t="str">
        <f>"21225"</f>
        <v>21225</v>
      </c>
      <c r="D477" t="str">
        <f>"7027B"</f>
        <v>7027B</v>
      </c>
      <c r="E477" t="str">
        <f>"010 "</f>
        <v xml:space="preserve">010 </v>
      </c>
      <c r="F477" t="s">
        <v>952</v>
      </c>
      <c r="G477" s="1">
        <v>40000</v>
      </c>
      <c r="H477" t="s">
        <v>161</v>
      </c>
      <c r="I477" t="s">
        <v>15</v>
      </c>
      <c r="J477" s="1">
        <v>12293.6</v>
      </c>
    </row>
    <row r="478" spans="1:10" x14ac:dyDescent="0.25">
      <c r="A478" t="str">
        <f t="shared" si="33"/>
        <v>07/20/20</v>
      </c>
      <c r="B478" t="s">
        <v>953</v>
      </c>
      <c r="C478" t="str">
        <f>"21218"</f>
        <v>21218</v>
      </c>
      <c r="D478" t="str">
        <f>"4028A"</f>
        <v>4028A</v>
      </c>
      <c r="E478" t="str">
        <f>"020 "</f>
        <v xml:space="preserve">020 </v>
      </c>
      <c r="F478" t="s">
        <v>954</v>
      </c>
      <c r="G478" s="1">
        <v>1000</v>
      </c>
      <c r="H478" t="s">
        <v>142</v>
      </c>
      <c r="I478" t="s">
        <v>15</v>
      </c>
      <c r="J478" s="1">
        <v>130911.57</v>
      </c>
    </row>
    <row r="479" spans="1:10" x14ac:dyDescent="0.25">
      <c r="A479" t="str">
        <f t="shared" si="33"/>
        <v>07/20/20</v>
      </c>
      <c r="B479" t="s">
        <v>955</v>
      </c>
      <c r="C479" t="str">
        <f>"21218"</f>
        <v>21218</v>
      </c>
      <c r="D479" t="str">
        <f>"4163 "</f>
        <v xml:space="preserve">4163 </v>
      </c>
      <c r="E479" t="str">
        <f>"006 "</f>
        <v xml:space="preserve">006 </v>
      </c>
      <c r="F479" t="s">
        <v>956</v>
      </c>
      <c r="G479" s="1">
        <v>5000</v>
      </c>
      <c r="H479" t="s">
        <v>142</v>
      </c>
      <c r="I479" t="s">
        <v>34</v>
      </c>
      <c r="J479" s="1">
        <v>4106.07</v>
      </c>
    </row>
    <row r="480" spans="1:10" x14ac:dyDescent="0.25">
      <c r="A480" t="str">
        <f t="shared" si="33"/>
        <v>07/20/20</v>
      </c>
      <c r="B480" t="s">
        <v>957</v>
      </c>
      <c r="C480" t="str">
        <f>"21216"</f>
        <v>21216</v>
      </c>
      <c r="D480" t="str">
        <f>"2377A"</f>
        <v>2377A</v>
      </c>
      <c r="E480" t="str">
        <f>"027 "</f>
        <v xml:space="preserve">027 </v>
      </c>
      <c r="F480" t="s">
        <v>209</v>
      </c>
      <c r="G480" s="1">
        <v>7000</v>
      </c>
      <c r="H480" t="s">
        <v>33</v>
      </c>
      <c r="I480" t="s">
        <v>15</v>
      </c>
      <c r="J480" s="1">
        <v>18999.32</v>
      </c>
    </row>
    <row r="481" spans="1:10" x14ac:dyDescent="0.25">
      <c r="A481" t="str">
        <f t="shared" si="33"/>
        <v>07/20/20</v>
      </c>
      <c r="B481" t="s">
        <v>958</v>
      </c>
      <c r="C481" t="str">
        <f>"21216"</f>
        <v>21216</v>
      </c>
      <c r="D481" t="str">
        <f>"2360 "</f>
        <v xml:space="preserve">2360 </v>
      </c>
      <c r="E481" t="str">
        <f>"033 "</f>
        <v xml:space="preserve">033 </v>
      </c>
      <c r="F481" t="s">
        <v>959</v>
      </c>
      <c r="G481" s="1">
        <v>85900</v>
      </c>
      <c r="H481" t="s">
        <v>14</v>
      </c>
      <c r="I481" t="s">
        <v>15</v>
      </c>
      <c r="J481" s="1">
        <v>110707.28</v>
      </c>
    </row>
    <row r="482" spans="1:10" x14ac:dyDescent="0.25">
      <c r="A482" t="str">
        <f t="shared" si="33"/>
        <v>07/20/20</v>
      </c>
      <c r="B482" t="s">
        <v>960</v>
      </c>
      <c r="C482" t="str">
        <f>"21216"</f>
        <v>21216</v>
      </c>
      <c r="D482" t="str">
        <f>"2475D"</f>
        <v>2475D</v>
      </c>
      <c r="E482" t="str">
        <f>"047 "</f>
        <v xml:space="preserve">047 </v>
      </c>
      <c r="F482" t="s">
        <v>961</v>
      </c>
      <c r="G482" s="1">
        <v>17600</v>
      </c>
      <c r="H482" t="s">
        <v>14</v>
      </c>
      <c r="I482" t="s">
        <v>34</v>
      </c>
      <c r="J482" s="1">
        <v>156660.74</v>
      </c>
    </row>
    <row r="483" spans="1:10" x14ac:dyDescent="0.25">
      <c r="A483" t="str">
        <f t="shared" si="33"/>
        <v>07/20/20</v>
      </c>
      <c r="B483" t="s">
        <v>962</v>
      </c>
      <c r="C483" t="str">
        <f>"21216"</f>
        <v>21216</v>
      </c>
      <c r="D483" t="str">
        <f>"2475E"</f>
        <v>2475E</v>
      </c>
      <c r="E483" t="str">
        <f>"030 "</f>
        <v xml:space="preserve">030 </v>
      </c>
      <c r="F483" t="s">
        <v>963</v>
      </c>
      <c r="G483" s="1">
        <v>60300</v>
      </c>
      <c r="H483" t="s">
        <v>14</v>
      </c>
      <c r="I483" t="s">
        <v>34</v>
      </c>
      <c r="J483" s="1">
        <v>25704.99</v>
      </c>
    </row>
    <row r="484" spans="1:10" x14ac:dyDescent="0.25">
      <c r="A484" t="str">
        <f t="shared" si="33"/>
        <v>07/20/20</v>
      </c>
      <c r="B484" t="s">
        <v>964</v>
      </c>
      <c r="C484" t="str">
        <f>"21216"</f>
        <v>21216</v>
      </c>
      <c r="D484" t="str">
        <f>"2475E"</f>
        <v>2475E</v>
      </c>
      <c r="E484" t="str">
        <f>"035 "</f>
        <v xml:space="preserve">035 </v>
      </c>
      <c r="F484" t="s">
        <v>965</v>
      </c>
      <c r="G484" s="1">
        <v>17700</v>
      </c>
      <c r="H484" t="s">
        <v>14</v>
      </c>
      <c r="I484" t="s">
        <v>34</v>
      </c>
      <c r="J484" s="1">
        <v>55834.63</v>
      </c>
    </row>
    <row r="485" spans="1:10" x14ac:dyDescent="0.25">
      <c r="A485" t="str">
        <f t="shared" si="33"/>
        <v>07/20/20</v>
      </c>
      <c r="B485" t="s">
        <v>966</v>
      </c>
      <c r="C485" t="str">
        <f t="shared" ref="C485:C502" si="35">"21217"</f>
        <v>21217</v>
      </c>
      <c r="D485" t="str">
        <f>"0110 "</f>
        <v xml:space="preserve">0110 </v>
      </c>
      <c r="E485" t="str">
        <f>"018 "</f>
        <v xml:space="preserve">018 </v>
      </c>
      <c r="F485" t="s">
        <v>967</v>
      </c>
      <c r="G485" s="1">
        <v>1000</v>
      </c>
      <c r="H485" t="s">
        <v>33</v>
      </c>
      <c r="I485" t="s">
        <v>15</v>
      </c>
      <c r="J485" s="1">
        <v>130755.88</v>
      </c>
    </row>
    <row r="486" spans="1:10" x14ac:dyDescent="0.25">
      <c r="A486" t="str">
        <f t="shared" si="33"/>
        <v>07/20/20</v>
      </c>
      <c r="B486" t="s">
        <v>968</v>
      </c>
      <c r="C486" t="str">
        <f t="shared" si="35"/>
        <v>21217</v>
      </c>
      <c r="D486" t="str">
        <f>"0107 "</f>
        <v xml:space="preserve">0107 </v>
      </c>
      <c r="E486" t="str">
        <f>"022 "</f>
        <v xml:space="preserve">022 </v>
      </c>
      <c r="F486" t="s">
        <v>599</v>
      </c>
      <c r="G486" s="1">
        <v>5000</v>
      </c>
      <c r="H486" t="s">
        <v>33</v>
      </c>
      <c r="I486" t="s">
        <v>34</v>
      </c>
      <c r="J486" s="1">
        <v>66230.19</v>
      </c>
    </row>
    <row r="487" spans="1:10" x14ac:dyDescent="0.25">
      <c r="A487" t="str">
        <f t="shared" si="33"/>
        <v>07/20/20</v>
      </c>
      <c r="B487" t="s">
        <v>969</v>
      </c>
      <c r="C487" t="str">
        <f t="shared" si="35"/>
        <v>21217</v>
      </c>
      <c r="D487" t="str">
        <f>"0096 "</f>
        <v xml:space="preserve">0096 </v>
      </c>
      <c r="E487" t="str">
        <f>"055 "</f>
        <v xml:space="preserve">055 </v>
      </c>
      <c r="F487" t="s">
        <v>970</v>
      </c>
      <c r="G487" s="1">
        <v>1000</v>
      </c>
      <c r="H487" t="s">
        <v>33</v>
      </c>
      <c r="I487" t="s">
        <v>15</v>
      </c>
      <c r="J487" s="1">
        <v>11278.4</v>
      </c>
    </row>
    <row r="488" spans="1:10" x14ac:dyDescent="0.25">
      <c r="A488" t="str">
        <f t="shared" si="33"/>
        <v>07/20/20</v>
      </c>
      <c r="B488" t="s">
        <v>971</v>
      </c>
      <c r="C488" t="str">
        <f t="shared" si="35"/>
        <v>21217</v>
      </c>
      <c r="D488" t="str">
        <f>"0109 "</f>
        <v xml:space="preserve">0109 </v>
      </c>
      <c r="E488" t="str">
        <f>"016 "</f>
        <v xml:space="preserve">016 </v>
      </c>
      <c r="F488" t="s">
        <v>972</v>
      </c>
      <c r="G488" s="1">
        <v>2000</v>
      </c>
      <c r="H488" t="s">
        <v>33</v>
      </c>
      <c r="I488" t="s">
        <v>15</v>
      </c>
      <c r="J488" s="1">
        <v>17388.169999999998</v>
      </c>
    </row>
    <row r="489" spans="1:10" x14ac:dyDescent="0.25">
      <c r="A489" t="str">
        <f t="shared" si="33"/>
        <v>07/20/20</v>
      </c>
      <c r="B489" t="s">
        <v>973</v>
      </c>
      <c r="C489" t="str">
        <f t="shared" si="35"/>
        <v>21217</v>
      </c>
      <c r="D489" t="str">
        <f>"0104 "</f>
        <v xml:space="preserve">0104 </v>
      </c>
      <c r="E489" t="str">
        <f>"045 "</f>
        <v xml:space="preserve">045 </v>
      </c>
      <c r="F489" t="s">
        <v>209</v>
      </c>
      <c r="G489" s="1">
        <v>6000</v>
      </c>
      <c r="H489" t="s">
        <v>33</v>
      </c>
      <c r="I489" t="s">
        <v>15</v>
      </c>
      <c r="J489" s="1">
        <v>17246.63</v>
      </c>
    </row>
    <row r="490" spans="1:10" x14ac:dyDescent="0.25">
      <c r="A490" t="str">
        <f t="shared" si="33"/>
        <v>07/20/20</v>
      </c>
      <c r="B490" t="s">
        <v>974</v>
      </c>
      <c r="C490" t="str">
        <f t="shared" si="35"/>
        <v>21217</v>
      </c>
      <c r="D490" t="str">
        <f>"0097 "</f>
        <v xml:space="preserve">0097 </v>
      </c>
      <c r="E490" t="str">
        <f>"052 "</f>
        <v xml:space="preserve">052 </v>
      </c>
      <c r="F490" t="s">
        <v>972</v>
      </c>
      <c r="G490" s="1">
        <v>1000</v>
      </c>
      <c r="H490" t="s">
        <v>33</v>
      </c>
      <c r="I490" t="s">
        <v>15</v>
      </c>
      <c r="J490" s="1">
        <v>54851.32</v>
      </c>
    </row>
    <row r="491" spans="1:10" x14ac:dyDescent="0.25">
      <c r="A491" t="str">
        <f t="shared" si="33"/>
        <v>07/20/20</v>
      </c>
      <c r="B491" t="s">
        <v>975</v>
      </c>
      <c r="C491" t="str">
        <f t="shared" si="35"/>
        <v>21217</v>
      </c>
      <c r="D491" t="str">
        <f>"0113 "</f>
        <v xml:space="preserve">0113 </v>
      </c>
      <c r="E491" t="str">
        <f>"022 "</f>
        <v xml:space="preserve">022 </v>
      </c>
      <c r="F491" t="s">
        <v>976</v>
      </c>
      <c r="G491" s="1">
        <v>1000</v>
      </c>
      <c r="H491" t="s">
        <v>33</v>
      </c>
      <c r="I491" t="s">
        <v>15</v>
      </c>
      <c r="J491" s="1">
        <v>31384.02</v>
      </c>
    </row>
    <row r="492" spans="1:10" x14ac:dyDescent="0.25">
      <c r="A492" t="str">
        <f t="shared" si="33"/>
        <v>07/20/20</v>
      </c>
      <c r="B492" t="s">
        <v>977</v>
      </c>
      <c r="C492" t="str">
        <f t="shared" si="35"/>
        <v>21217</v>
      </c>
      <c r="D492" t="str">
        <f>"0109 "</f>
        <v xml:space="preserve">0109 </v>
      </c>
      <c r="E492" t="str">
        <f>"014 "</f>
        <v xml:space="preserve">014 </v>
      </c>
      <c r="F492" t="s">
        <v>978</v>
      </c>
      <c r="G492" s="1">
        <v>1000</v>
      </c>
      <c r="H492" t="s">
        <v>33</v>
      </c>
      <c r="I492" t="s">
        <v>15</v>
      </c>
      <c r="J492" s="1">
        <v>15693.35</v>
      </c>
    </row>
    <row r="493" spans="1:10" x14ac:dyDescent="0.25">
      <c r="A493" t="str">
        <f t="shared" si="33"/>
        <v>07/20/20</v>
      </c>
      <c r="B493" t="s">
        <v>979</v>
      </c>
      <c r="C493" t="str">
        <f t="shared" si="35"/>
        <v>21217</v>
      </c>
      <c r="D493" t="str">
        <f>"0106 "</f>
        <v xml:space="preserve">0106 </v>
      </c>
      <c r="E493" t="str">
        <f>"044 "</f>
        <v xml:space="preserve">044 </v>
      </c>
      <c r="F493" t="s">
        <v>980</v>
      </c>
      <c r="G493" s="1">
        <v>5000</v>
      </c>
      <c r="H493" t="s">
        <v>33</v>
      </c>
      <c r="I493" t="s">
        <v>15</v>
      </c>
      <c r="J493" s="1">
        <v>34950.089999999997</v>
      </c>
    </row>
    <row r="494" spans="1:10" x14ac:dyDescent="0.25">
      <c r="A494" t="str">
        <f t="shared" si="33"/>
        <v>07/20/20</v>
      </c>
      <c r="B494" t="s">
        <v>981</v>
      </c>
      <c r="C494" t="str">
        <f t="shared" si="35"/>
        <v>21217</v>
      </c>
      <c r="D494" t="str">
        <f>"0106 "</f>
        <v xml:space="preserve">0106 </v>
      </c>
      <c r="E494" t="str">
        <f>"039 "</f>
        <v xml:space="preserve">039 </v>
      </c>
      <c r="F494" t="s">
        <v>982</v>
      </c>
      <c r="G494" s="1">
        <v>1000</v>
      </c>
      <c r="H494" t="s">
        <v>33</v>
      </c>
      <c r="I494" t="s">
        <v>15</v>
      </c>
      <c r="J494" s="1">
        <v>17460.939999999999</v>
      </c>
    </row>
    <row r="495" spans="1:10" x14ac:dyDescent="0.25">
      <c r="A495" t="str">
        <f t="shared" si="33"/>
        <v>07/20/20</v>
      </c>
      <c r="B495" t="s">
        <v>983</v>
      </c>
      <c r="C495" t="str">
        <f t="shared" si="35"/>
        <v>21217</v>
      </c>
      <c r="D495" t="str">
        <f>"0109 "</f>
        <v xml:space="preserve">0109 </v>
      </c>
      <c r="E495" t="str">
        <f>"021 "</f>
        <v xml:space="preserve">021 </v>
      </c>
      <c r="F495" t="s">
        <v>972</v>
      </c>
      <c r="G495" s="1">
        <v>2000</v>
      </c>
      <c r="H495" t="s">
        <v>33</v>
      </c>
      <c r="I495" t="s">
        <v>15</v>
      </c>
      <c r="J495" s="1">
        <v>14569.91</v>
      </c>
    </row>
    <row r="496" spans="1:10" x14ac:dyDescent="0.25">
      <c r="A496" t="str">
        <f t="shared" si="33"/>
        <v>07/20/20</v>
      </c>
      <c r="B496" t="s">
        <v>984</v>
      </c>
      <c r="C496" t="str">
        <f t="shared" si="35"/>
        <v>21217</v>
      </c>
      <c r="D496" t="str">
        <f>"0106 "</f>
        <v xml:space="preserve">0106 </v>
      </c>
      <c r="E496" t="str">
        <f>"059 "</f>
        <v xml:space="preserve">059 </v>
      </c>
      <c r="F496" t="s">
        <v>985</v>
      </c>
      <c r="G496" s="1">
        <v>5000</v>
      </c>
      <c r="H496" t="s">
        <v>33</v>
      </c>
      <c r="I496" t="s">
        <v>34</v>
      </c>
      <c r="J496" s="1">
        <v>11943.26</v>
      </c>
    </row>
    <row r="497" spans="1:10" x14ac:dyDescent="0.25">
      <c r="A497" t="str">
        <f t="shared" si="33"/>
        <v>07/20/20</v>
      </c>
      <c r="B497" t="s">
        <v>986</v>
      </c>
      <c r="C497" t="str">
        <f t="shared" si="35"/>
        <v>21217</v>
      </c>
      <c r="D497" t="str">
        <f>"0106 "</f>
        <v xml:space="preserve">0106 </v>
      </c>
      <c r="E497" t="str">
        <f>"047 "</f>
        <v xml:space="preserve">047 </v>
      </c>
      <c r="F497" t="s">
        <v>987</v>
      </c>
      <c r="G497" s="1">
        <v>5000</v>
      </c>
      <c r="H497" t="s">
        <v>33</v>
      </c>
      <c r="I497" t="s">
        <v>15</v>
      </c>
      <c r="J497" s="1">
        <v>38762.28</v>
      </c>
    </row>
    <row r="498" spans="1:10" x14ac:dyDescent="0.25">
      <c r="A498" t="str">
        <f t="shared" si="33"/>
        <v>07/20/20</v>
      </c>
      <c r="B498" t="s">
        <v>988</v>
      </c>
      <c r="C498" t="str">
        <f t="shared" si="35"/>
        <v>21217</v>
      </c>
      <c r="D498" t="str">
        <f>"0106 "</f>
        <v xml:space="preserve">0106 </v>
      </c>
      <c r="E498" t="str">
        <f>"045 "</f>
        <v xml:space="preserve">045 </v>
      </c>
      <c r="F498" t="s">
        <v>989</v>
      </c>
      <c r="G498" s="1">
        <v>5000</v>
      </c>
      <c r="H498" t="s">
        <v>33</v>
      </c>
      <c r="I498" t="s">
        <v>15</v>
      </c>
      <c r="J498" s="1">
        <v>9073.1299999999992</v>
      </c>
    </row>
    <row r="499" spans="1:10" x14ac:dyDescent="0.25">
      <c r="A499" t="str">
        <f t="shared" si="33"/>
        <v>07/20/20</v>
      </c>
      <c r="B499" t="s">
        <v>990</v>
      </c>
      <c r="C499" t="str">
        <f t="shared" si="35"/>
        <v>21217</v>
      </c>
      <c r="D499" t="str">
        <f>"0110 "</f>
        <v xml:space="preserve">0110 </v>
      </c>
      <c r="E499" t="str">
        <f>"020 "</f>
        <v xml:space="preserve">020 </v>
      </c>
      <c r="F499" t="s">
        <v>991</v>
      </c>
      <c r="G499" s="1">
        <v>1000</v>
      </c>
      <c r="H499" t="s">
        <v>33</v>
      </c>
      <c r="I499" t="s">
        <v>15</v>
      </c>
      <c r="J499" s="1">
        <v>94592.63</v>
      </c>
    </row>
    <row r="500" spans="1:10" x14ac:dyDescent="0.25">
      <c r="A500" t="str">
        <f t="shared" si="33"/>
        <v>07/20/20</v>
      </c>
      <c r="B500" t="s">
        <v>992</v>
      </c>
      <c r="C500" t="str">
        <f t="shared" si="35"/>
        <v>21217</v>
      </c>
      <c r="D500" t="str">
        <f>"0094 "</f>
        <v xml:space="preserve">0094 </v>
      </c>
      <c r="E500" t="str">
        <f>"029 "</f>
        <v xml:space="preserve">029 </v>
      </c>
      <c r="F500" t="s">
        <v>993</v>
      </c>
      <c r="G500" s="1">
        <v>15000</v>
      </c>
      <c r="H500" t="s">
        <v>33</v>
      </c>
      <c r="I500" t="s">
        <v>34</v>
      </c>
      <c r="J500" s="1">
        <v>49856.2</v>
      </c>
    </row>
    <row r="501" spans="1:10" x14ac:dyDescent="0.25">
      <c r="A501" t="str">
        <f t="shared" si="33"/>
        <v>07/20/20</v>
      </c>
      <c r="B501" t="s">
        <v>994</v>
      </c>
      <c r="C501" t="str">
        <f t="shared" si="35"/>
        <v>21217</v>
      </c>
      <c r="D501" t="str">
        <f>"0094 "</f>
        <v xml:space="preserve">0094 </v>
      </c>
      <c r="E501" t="str">
        <f>"032 "</f>
        <v xml:space="preserve">032 </v>
      </c>
      <c r="F501" t="s">
        <v>599</v>
      </c>
      <c r="G501" s="1">
        <v>5000</v>
      </c>
      <c r="H501" t="s">
        <v>33</v>
      </c>
      <c r="I501" t="s">
        <v>34</v>
      </c>
      <c r="J501" s="1">
        <v>52291.59</v>
      </c>
    </row>
    <row r="502" spans="1:10" x14ac:dyDescent="0.25">
      <c r="A502" t="str">
        <f t="shared" si="33"/>
        <v>07/20/20</v>
      </c>
      <c r="B502" t="s">
        <v>995</v>
      </c>
      <c r="C502" t="str">
        <f t="shared" si="35"/>
        <v>21217</v>
      </c>
      <c r="D502" t="str">
        <f>"0095 "</f>
        <v xml:space="preserve">0095 </v>
      </c>
      <c r="E502" t="str">
        <f>"060 "</f>
        <v xml:space="preserve">060 </v>
      </c>
      <c r="F502" t="s">
        <v>996</v>
      </c>
      <c r="G502" s="1">
        <v>5000</v>
      </c>
      <c r="H502" t="s">
        <v>33</v>
      </c>
      <c r="I502" t="s">
        <v>34</v>
      </c>
      <c r="J502" s="1">
        <v>29482.63</v>
      </c>
    </row>
    <row r="503" spans="1:10" x14ac:dyDescent="0.25">
      <c r="A503" t="str">
        <f t="shared" si="33"/>
        <v>07/20/20</v>
      </c>
      <c r="B503" t="s">
        <v>997</v>
      </c>
      <c r="C503" t="str">
        <f>"21223"</f>
        <v>21223</v>
      </c>
      <c r="D503" t="str">
        <f>"0258 "</f>
        <v xml:space="preserve">0258 </v>
      </c>
      <c r="E503" t="str">
        <f>"060 "</f>
        <v xml:space="preserve">060 </v>
      </c>
      <c r="F503" t="s">
        <v>998</v>
      </c>
      <c r="G503" s="1">
        <v>6000</v>
      </c>
      <c r="H503" t="s">
        <v>33</v>
      </c>
      <c r="I503" t="s">
        <v>34</v>
      </c>
      <c r="J503" s="1">
        <v>11627.87</v>
      </c>
    </row>
    <row r="504" spans="1:10" x14ac:dyDescent="0.25">
      <c r="A504" t="str">
        <f t="shared" si="33"/>
        <v>07/20/20</v>
      </c>
      <c r="B504" t="s">
        <v>999</v>
      </c>
      <c r="C504" t="str">
        <f>"21224"</f>
        <v>21224</v>
      </c>
      <c r="D504" t="str">
        <f>"6763 "</f>
        <v xml:space="preserve">6763 </v>
      </c>
      <c r="E504" t="str">
        <f>"009 "</f>
        <v xml:space="preserve">009 </v>
      </c>
      <c r="F504" t="s">
        <v>1000</v>
      </c>
      <c r="G504" s="1">
        <v>61000</v>
      </c>
      <c r="H504" t="s">
        <v>137</v>
      </c>
      <c r="I504" t="s">
        <v>15</v>
      </c>
      <c r="J504" s="1">
        <v>65036.800000000003</v>
      </c>
    </row>
    <row r="505" spans="1:10" x14ac:dyDescent="0.25">
      <c r="A505" t="str">
        <f t="shared" si="33"/>
        <v>07/20/20</v>
      </c>
      <c r="B505" t="s">
        <v>1001</v>
      </c>
      <c r="C505" t="str">
        <f>"21215"</f>
        <v>21215</v>
      </c>
      <c r="D505" t="str">
        <f>"4511B"</f>
        <v>4511B</v>
      </c>
      <c r="E505" t="str">
        <f>"030 "</f>
        <v xml:space="preserve">030 </v>
      </c>
      <c r="F505" t="s">
        <v>1002</v>
      </c>
      <c r="G505" s="1">
        <v>70000</v>
      </c>
      <c r="H505" t="s">
        <v>14</v>
      </c>
      <c r="I505" t="s">
        <v>15</v>
      </c>
      <c r="J505" s="1">
        <v>84840.8</v>
      </c>
    </row>
    <row r="506" spans="1:10" x14ac:dyDescent="0.25">
      <c r="A506" t="str">
        <f t="shared" si="33"/>
        <v>07/20/20</v>
      </c>
      <c r="B506" t="s">
        <v>1003</v>
      </c>
      <c r="C506" t="str">
        <f>"21226"</f>
        <v>21226</v>
      </c>
      <c r="D506" t="str">
        <f>"7223 "</f>
        <v xml:space="preserve">7223 </v>
      </c>
      <c r="E506" t="str">
        <f>"015 "</f>
        <v xml:space="preserve">015 </v>
      </c>
      <c r="F506" t="s">
        <v>1004</v>
      </c>
      <c r="G506" s="1">
        <v>13000</v>
      </c>
      <c r="H506" t="s">
        <v>14</v>
      </c>
      <c r="I506" t="s">
        <v>15</v>
      </c>
      <c r="J506" s="1">
        <v>33367.620000000003</v>
      </c>
    </row>
    <row r="507" spans="1:10" x14ac:dyDescent="0.25">
      <c r="A507" t="str">
        <f t="shared" si="33"/>
        <v>07/20/20</v>
      </c>
      <c r="B507" t="s">
        <v>1005</v>
      </c>
      <c r="C507" t="str">
        <f>"21217"</f>
        <v>21217</v>
      </c>
      <c r="D507" t="str">
        <f>"3207 "</f>
        <v xml:space="preserve">3207 </v>
      </c>
      <c r="E507" t="str">
        <f>"083 "</f>
        <v xml:space="preserve">083 </v>
      </c>
      <c r="F507" t="s">
        <v>300</v>
      </c>
      <c r="G507" s="1">
        <v>9000</v>
      </c>
      <c r="H507" t="s">
        <v>33</v>
      </c>
      <c r="I507" t="s">
        <v>34</v>
      </c>
      <c r="J507" s="1">
        <v>403.2</v>
      </c>
    </row>
    <row r="508" spans="1:10" x14ac:dyDescent="0.25">
      <c r="A508" t="str">
        <f t="shared" si="33"/>
        <v>07/20/20</v>
      </c>
      <c r="B508" t="s">
        <v>1006</v>
      </c>
      <c r="C508" t="str">
        <f>"21217"</f>
        <v>21217</v>
      </c>
      <c r="D508" t="str">
        <f>"3207 "</f>
        <v xml:space="preserve">3207 </v>
      </c>
      <c r="E508" t="str">
        <f>"077 "</f>
        <v xml:space="preserve">077 </v>
      </c>
      <c r="F508" t="s">
        <v>1007</v>
      </c>
      <c r="G508" s="1">
        <v>9000</v>
      </c>
      <c r="H508" t="s">
        <v>33</v>
      </c>
      <c r="I508" t="s">
        <v>34</v>
      </c>
      <c r="J508" s="1">
        <v>543.58000000000004</v>
      </c>
    </row>
    <row r="509" spans="1:10" x14ac:dyDescent="0.25">
      <c r="A509" t="str">
        <f t="shared" si="33"/>
        <v>07/20/20</v>
      </c>
      <c r="B509" t="s">
        <v>1008</v>
      </c>
      <c r="C509" t="str">
        <f>"21230"</f>
        <v>21230</v>
      </c>
      <c r="D509" t="str">
        <f>"7805B"</f>
        <v>7805B</v>
      </c>
      <c r="E509" t="str">
        <f>"029 "</f>
        <v xml:space="preserve">029 </v>
      </c>
      <c r="F509" t="s">
        <v>1009</v>
      </c>
      <c r="G509" s="1">
        <v>38000</v>
      </c>
      <c r="H509" t="s">
        <v>14</v>
      </c>
      <c r="I509" t="s">
        <v>15</v>
      </c>
      <c r="J509" s="1">
        <v>24342.28</v>
      </c>
    </row>
    <row r="510" spans="1:10" x14ac:dyDescent="0.25">
      <c r="A510" t="str">
        <f t="shared" si="33"/>
        <v>07/20/20</v>
      </c>
      <c r="B510" t="s">
        <v>1010</v>
      </c>
      <c r="C510" t="str">
        <f>"ER S3"</f>
        <v>ER S3</v>
      </c>
      <c r="D510" t="str">
        <f>"8434F"</f>
        <v>8434F</v>
      </c>
      <c r="E510" t="str">
        <f>"022 "</f>
        <v xml:space="preserve">022 </v>
      </c>
      <c r="F510" t="s">
        <v>1011</v>
      </c>
      <c r="G510" s="1">
        <v>26700</v>
      </c>
      <c r="H510" t="s">
        <v>74</v>
      </c>
      <c r="I510" t="s">
        <v>15</v>
      </c>
      <c r="J510" s="1">
        <v>804.62</v>
      </c>
    </row>
    <row r="511" spans="1:10" x14ac:dyDescent="0.25">
      <c r="A511" t="str">
        <f t="shared" si="33"/>
        <v>07/20/20</v>
      </c>
      <c r="B511" t="s">
        <v>1012</v>
      </c>
      <c r="C511" t="str">
        <f>"21215"</f>
        <v>21215</v>
      </c>
      <c r="D511" t="str">
        <f>"3169 "</f>
        <v xml:space="preserve">3169 </v>
      </c>
      <c r="E511" t="str">
        <f>"016 "</f>
        <v xml:space="preserve">016 </v>
      </c>
      <c r="F511" t="s">
        <v>1013</v>
      </c>
      <c r="G511" s="1">
        <v>45000</v>
      </c>
      <c r="H511" t="s">
        <v>14</v>
      </c>
      <c r="I511" t="s">
        <v>15</v>
      </c>
      <c r="J511" s="1">
        <v>75299.7</v>
      </c>
    </row>
    <row r="512" spans="1:10" x14ac:dyDescent="0.25">
      <c r="A512" t="str">
        <f t="shared" si="33"/>
        <v>07/20/20</v>
      </c>
      <c r="B512" t="s">
        <v>1014</v>
      </c>
      <c r="C512" t="str">
        <f>"21215"</f>
        <v>21215</v>
      </c>
      <c r="D512" t="str">
        <f>"3167 "</f>
        <v xml:space="preserve">3167 </v>
      </c>
      <c r="E512" t="str">
        <f>"023 "</f>
        <v xml:space="preserve">023 </v>
      </c>
      <c r="F512" t="s">
        <v>1015</v>
      </c>
      <c r="G512" s="1">
        <v>45000</v>
      </c>
      <c r="H512" t="s">
        <v>14</v>
      </c>
      <c r="I512" t="s">
        <v>34</v>
      </c>
      <c r="J512" s="1">
        <v>7982.76</v>
      </c>
    </row>
    <row r="513" spans="1:10" x14ac:dyDescent="0.25">
      <c r="A513" t="str">
        <f t="shared" si="33"/>
        <v>07/20/20</v>
      </c>
      <c r="B513" t="s">
        <v>1016</v>
      </c>
      <c r="C513" t="str">
        <f>"21229"</f>
        <v>21229</v>
      </c>
      <c r="D513" t="str">
        <f>"2230I"</f>
        <v>2230I</v>
      </c>
      <c r="E513" t="str">
        <f>"007 "</f>
        <v xml:space="preserve">007 </v>
      </c>
      <c r="F513" t="s">
        <v>1017</v>
      </c>
      <c r="G513" s="1">
        <v>14600</v>
      </c>
      <c r="H513" t="s">
        <v>30</v>
      </c>
      <c r="I513" t="s">
        <v>34</v>
      </c>
      <c r="J513" s="1">
        <v>2146.84</v>
      </c>
    </row>
    <row r="514" spans="1:10" x14ac:dyDescent="0.25">
      <c r="A514" t="str">
        <f t="shared" si="33"/>
        <v>07/20/20</v>
      </c>
      <c r="B514" t="s">
        <v>1018</v>
      </c>
      <c r="C514" t="str">
        <f>"21229"</f>
        <v>21229</v>
      </c>
      <c r="D514" t="str">
        <f>"2275E"</f>
        <v>2275E</v>
      </c>
      <c r="E514" t="str">
        <f>"005 "</f>
        <v xml:space="preserve">005 </v>
      </c>
      <c r="F514" t="s">
        <v>1019</v>
      </c>
      <c r="G514" s="1">
        <v>22800</v>
      </c>
      <c r="H514" t="s">
        <v>14</v>
      </c>
      <c r="I514" t="s">
        <v>34</v>
      </c>
      <c r="J514" s="1">
        <v>162978.5</v>
      </c>
    </row>
    <row r="515" spans="1:10" x14ac:dyDescent="0.25">
      <c r="A515" t="str">
        <f t="shared" ref="A515:A578" si="36">"07/20/20"</f>
        <v>07/20/20</v>
      </c>
      <c r="B515" t="s">
        <v>1020</v>
      </c>
      <c r="C515" t="str">
        <f>"21229"</f>
        <v>21229</v>
      </c>
      <c r="D515" t="str">
        <f>"2199H"</f>
        <v>2199H</v>
      </c>
      <c r="E515" t="str">
        <f>"002 "</f>
        <v xml:space="preserve">002 </v>
      </c>
      <c r="F515" t="s">
        <v>101</v>
      </c>
      <c r="G515" s="1">
        <v>14200</v>
      </c>
      <c r="H515" t="s">
        <v>30</v>
      </c>
      <c r="I515" t="s">
        <v>15</v>
      </c>
      <c r="J515" s="1">
        <v>86381.61</v>
      </c>
    </row>
    <row r="516" spans="1:10" x14ac:dyDescent="0.25">
      <c r="A516" t="str">
        <f t="shared" si="36"/>
        <v>07/20/20</v>
      </c>
      <c r="B516" t="s">
        <v>1021</v>
      </c>
      <c r="C516" t="str">
        <f>"21202"</f>
        <v>21202</v>
      </c>
      <c r="D516" t="str">
        <f>"1121 "</f>
        <v xml:space="preserve">1121 </v>
      </c>
      <c r="E516" t="str">
        <f>"017 "</f>
        <v xml:space="preserve">017 </v>
      </c>
      <c r="F516" t="s">
        <v>1022</v>
      </c>
      <c r="G516" s="1">
        <v>11000</v>
      </c>
      <c r="H516" t="s">
        <v>33</v>
      </c>
      <c r="I516" t="s">
        <v>34</v>
      </c>
      <c r="J516" s="1">
        <v>21069.42</v>
      </c>
    </row>
    <row r="517" spans="1:10" x14ac:dyDescent="0.25">
      <c r="A517" t="str">
        <f t="shared" si="36"/>
        <v>07/20/20</v>
      </c>
      <c r="B517" t="s">
        <v>1023</v>
      </c>
      <c r="C517" t="str">
        <f t="shared" ref="C517:C522" si="37">"21223"</f>
        <v>21223</v>
      </c>
      <c r="D517" t="str">
        <f>"0207 "</f>
        <v xml:space="preserve">0207 </v>
      </c>
      <c r="E517" t="str">
        <f>"010 "</f>
        <v xml:space="preserve">010 </v>
      </c>
      <c r="F517" t="s">
        <v>1024</v>
      </c>
      <c r="G517" s="1">
        <v>1000</v>
      </c>
      <c r="H517" t="s">
        <v>33</v>
      </c>
      <c r="I517" t="s">
        <v>15</v>
      </c>
      <c r="J517" s="1">
        <v>26113.599999999999</v>
      </c>
    </row>
    <row r="518" spans="1:10" x14ac:dyDescent="0.25">
      <c r="A518" t="str">
        <f t="shared" si="36"/>
        <v>07/20/20</v>
      </c>
      <c r="B518" t="s">
        <v>1025</v>
      </c>
      <c r="C518" t="str">
        <f t="shared" si="37"/>
        <v>21223</v>
      </c>
      <c r="D518" t="str">
        <f>"0204 "</f>
        <v xml:space="preserve">0204 </v>
      </c>
      <c r="E518" t="str">
        <f>"052 "</f>
        <v xml:space="preserve">052 </v>
      </c>
      <c r="F518" t="s">
        <v>1026</v>
      </c>
      <c r="G518" s="1">
        <v>10200</v>
      </c>
      <c r="H518" t="s">
        <v>33</v>
      </c>
      <c r="I518" t="s">
        <v>15</v>
      </c>
      <c r="J518" s="1">
        <v>1996.61</v>
      </c>
    </row>
    <row r="519" spans="1:10" x14ac:dyDescent="0.25">
      <c r="A519" t="str">
        <f t="shared" si="36"/>
        <v>07/20/20</v>
      </c>
      <c r="B519" t="s">
        <v>1027</v>
      </c>
      <c r="C519" t="str">
        <f t="shared" si="37"/>
        <v>21223</v>
      </c>
      <c r="D519" t="str">
        <f>"0224 "</f>
        <v xml:space="preserve">0224 </v>
      </c>
      <c r="E519" t="str">
        <f>"035 "</f>
        <v xml:space="preserve">035 </v>
      </c>
      <c r="F519" t="s">
        <v>1028</v>
      </c>
      <c r="G519" s="1">
        <v>3000</v>
      </c>
      <c r="H519" t="s">
        <v>33</v>
      </c>
      <c r="I519" t="s">
        <v>34</v>
      </c>
      <c r="J519" s="1">
        <v>25488.73</v>
      </c>
    </row>
    <row r="520" spans="1:10" x14ac:dyDescent="0.25">
      <c r="A520" t="str">
        <f t="shared" si="36"/>
        <v>07/20/20</v>
      </c>
      <c r="B520" t="s">
        <v>1029</v>
      </c>
      <c r="C520" t="str">
        <f t="shared" si="37"/>
        <v>21223</v>
      </c>
      <c r="D520" t="str">
        <f>"0204 "</f>
        <v xml:space="preserve">0204 </v>
      </c>
      <c r="E520" t="str">
        <f>"053 "</f>
        <v xml:space="preserve">053 </v>
      </c>
      <c r="F520" t="s">
        <v>1030</v>
      </c>
      <c r="G520" s="1">
        <v>3000</v>
      </c>
      <c r="H520" t="s">
        <v>33</v>
      </c>
      <c r="I520" t="s">
        <v>15</v>
      </c>
      <c r="J520" s="1">
        <v>4165.04</v>
      </c>
    </row>
    <row r="521" spans="1:10" x14ac:dyDescent="0.25">
      <c r="A521" t="str">
        <f t="shared" si="36"/>
        <v>07/20/20</v>
      </c>
      <c r="B521" t="s">
        <v>1031</v>
      </c>
      <c r="C521" t="str">
        <f t="shared" si="37"/>
        <v>21223</v>
      </c>
      <c r="D521" t="str">
        <f>"0224 "</f>
        <v xml:space="preserve">0224 </v>
      </c>
      <c r="E521" t="str">
        <f>"027 "</f>
        <v xml:space="preserve">027 </v>
      </c>
      <c r="F521" t="s">
        <v>1028</v>
      </c>
      <c r="G521" s="1">
        <v>1000</v>
      </c>
      <c r="H521" t="s">
        <v>33</v>
      </c>
      <c r="I521" t="s">
        <v>15</v>
      </c>
      <c r="J521" s="1">
        <v>23996.639999999999</v>
      </c>
    </row>
    <row r="522" spans="1:10" x14ac:dyDescent="0.25">
      <c r="A522" t="str">
        <f t="shared" si="36"/>
        <v>07/20/20</v>
      </c>
      <c r="B522" t="s">
        <v>1032</v>
      </c>
      <c r="C522" t="str">
        <f t="shared" si="37"/>
        <v>21223</v>
      </c>
      <c r="D522" t="str">
        <f>"0224 "</f>
        <v xml:space="preserve">0224 </v>
      </c>
      <c r="E522" t="str">
        <f>"026 "</f>
        <v xml:space="preserve">026 </v>
      </c>
      <c r="F522" t="s">
        <v>1028</v>
      </c>
      <c r="G522" s="1">
        <v>1000</v>
      </c>
      <c r="H522" t="s">
        <v>33</v>
      </c>
      <c r="I522" t="s">
        <v>15</v>
      </c>
      <c r="J522" s="1">
        <v>27101.16</v>
      </c>
    </row>
    <row r="523" spans="1:10" x14ac:dyDescent="0.25">
      <c r="A523" t="str">
        <f t="shared" si="36"/>
        <v>07/20/20</v>
      </c>
      <c r="B523" t="s">
        <v>1033</v>
      </c>
      <c r="C523" t="str">
        <f>"21230"</f>
        <v>21230</v>
      </c>
      <c r="D523" t="str">
        <f>"7892C"</f>
        <v>7892C</v>
      </c>
      <c r="E523" t="str">
        <f>"008 "</f>
        <v xml:space="preserve">008 </v>
      </c>
      <c r="F523" t="s">
        <v>1034</v>
      </c>
      <c r="G523" s="1">
        <v>42000</v>
      </c>
      <c r="H523" t="s">
        <v>1035</v>
      </c>
      <c r="I523" t="s">
        <v>15</v>
      </c>
      <c r="J523" s="1">
        <v>17187.52</v>
      </c>
    </row>
    <row r="524" spans="1:10" x14ac:dyDescent="0.25">
      <c r="A524" t="str">
        <f t="shared" si="36"/>
        <v>07/20/20</v>
      </c>
      <c r="B524" t="s">
        <v>1036</v>
      </c>
      <c r="C524" t="str">
        <f>"21230"</f>
        <v>21230</v>
      </c>
      <c r="D524" t="str">
        <f>"7897 "</f>
        <v xml:space="preserve">7897 </v>
      </c>
      <c r="E524" t="str">
        <f>"017 "</f>
        <v xml:space="preserve">017 </v>
      </c>
      <c r="F524" t="s">
        <v>1037</v>
      </c>
      <c r="G524" s="1">
        <v>38000</v>
      </c>
      <c r="H524" t="s">
        <v>1035</v>
      </c>
      <c r="I524" t="s">
        <v>15</v>
      </c>
      <c r="J524" s="1">
        <v>24235.49</v>
      </c>
    </row>
    <row r="525" spans="1:10" x14ac:dyDescent="0.25">
      <c r="A525" t="str">
        <f t="shared" si="36"/>
        <v>07/20/20</v>
      </c>
      <c r="B525" t="s">
        <v>1038</v>
      </c>
      <c r="C525" t="str">
        <f>"21230"</f>
        <v>21230</v>
      </c>
      <c r="D525" t="str">
        <f>"7897 "</f>
        <v xml:space="preserve">7897 </v>
      </c>
      <c r="E525" t="str">
        <f>"021 "</f>
        <v xml:space="preserve">021 </v>
      </c>
      <c r="F525" t="s">
        <v>1039</v>
      </c>
      <c r="G525" s="1">
        <v>20000</v>
      </c>
      <c r="H525" t="s">
        <v>1035</v>
      </c>
      <c r="I525" t="s">
        <v>15</v>
      </c>
      <c r="J525" s="1">
        <v>7393.91</v>
      </c>
    </row>
    <row r="526" spans="1:10" x14ac:dyDescent="0.25">
      <c r="A526" t="str">
        <f t="shared" si="36"/>
        <v>07/20/20</v>
      </c>
      <c r="B526" t="s">
        <v>1040</v>
      </c>
      <c r="C526" t="str">
        <f>"21218"</f>
        <v>21218</v>
      </c>
      <c r="D526" t="str">
        <f>"4123 "</f>
        <v xml:space="preserve">4123 </v>
      </c>
      <c r="E526" t="str">
        <f>"043 "</f>
        <v xml:space="preserve">043 </v>
      </c>
      <c r="F526" t="s">
        <v>1041</v>
      </c>
      <c r="G526" s="1">
        <v>5000</v>
      </c>
      <c r="H526" t="s">
        <v>14</v>
      </c>
      <c r="I526" t="s">
        <v>34</v>
      </c>
      <c r="J526" s="1">
        <v>16322.54</v>
      </c>
    </row>
    <row r="527" spans="1:10" x14ac:dyDescent="0.25">
      <c r="A527" t="str">
        <f t="shared" si="36"/>
        <v>07/20/20</v>
      </c>
      <c r="B527" t="s">
        <v>1042</v>
      </c>
      <c r="C527" t="str">
        <f>"21218"</f>
        <v>21218</v>
      </c>
      <c r="D527" t="str">
        <f>"4095 "</f>
        <v xml:space="preserve">4095 </v>
      </c>
      <c r="E527" t="str">
        <f>"036 "</f>
        <v xml:space="preserve">036 </v>
      </c>
      <c r="F527" t="s">
        <v>1043</v>
      </c>
      <c r="G527" s="1">
        <v>1900</v>
      </c>
      <c r="H527" t="s">
        <v>33</v>
      </c>
      <c r="I527" t="s">
        <v>15</v>
      </c>
      <c r="J527" s="1">
        <v>906.19</v>
      </c>
    </row>
    <row r="528" spans="1:10" x14ac:dyDescent="0.25">
      <c r="A528" t="str">
        <f t="shared" si="36"/>
        <v>07/20/20</v>
      </c>
      <c r="B528" t="s">
        <v>1044</v>
      </c>
      <c r="C528" t="str">
        <f>"21218"</f>
        <v>21218</v>
      </c>
      <c r="D528" t="str">
        <f>"4079 "</f>
        <v xml:space="preserve">4079 </v>
      </c>
      <c r="E528" t="str">
        <f>"001 "</f>
        <v xml:space="preserve">001 </v>
      </c>
      <c r="F528" t="s">
        <v>1045</v>
      </c>
      <c r="G528" s="1">
        <v>168000</v>
      </c>
      <c r="H528" t="s">
        <v>30</v>
      </c>
      <c r="I528" t="s">
        <v>15</v>
      </c>
      <c r="J528" s="1">
        <v>40442.99</v>
      </c>
    </row>
    <row r="529" spans="1:10" x14ac:dyDescent="0.25">
      <c r="A529" t="str">
        <f t="shared" si="36"/>
        <v>07/20/20</v>
      </c>
      <c r="B529" t="s">
        <v>1046</v>
      </c>
      <c r="C529" t="str">
        <f>"21218"</f>
        <v>21218</v>
      </c>
      <c r="D529" t="str">
        <f>"4110 "</f>
        <v xml:space="preserve">4110 </v>
      </c>
      <c r="E529" t="str">
        <f>"032 "</f>
        <v xml:space="preserve">032 </v>
      </c>
      <c r="F529" t="s">
        <v>1047</v>
      </c>
      <c r="G529" s="1">
        <v>1000</v>
      </c>
      <c r="H529" t="s">
        <v>14</v>
      </c>
      <c r="I529" t="s">
        <v>15</v>
      </c>
      <c r="J529" s="1">
        <v>84890.6</v>
      </c>
    </row>
    <row r="530" spans="1:10" x14ac:dyDescent="0.25">
      <c r="A530" t="str">
        <f t="shared" si="36"/>
        <v>07/20/20</v>
      </c>
      <c r="B530" t="s">
        <v>1048</v>
      </c>
      <c r="C530" t="str">
        <f>"21218"</f>
        <v>21218</v>
      </c>
      <c r="D530" t="str">
        <f>"4098 "</f>
        <v xml:space="preserve">4098 </v>
      </c>
      <c r="E530" t="str">
        <f>"013S"</f>
        <v>013S</v>
      </c>
      <c r="F530" t="s">
        <v>1049</v>
      </c>
      <c r="G530" s="1">
        <v>1000</v>
      </c>
      <c r="H530" t="s">
        <v>14</v>
      </c>
      <c r="I530" t="s">
        <v>15</v>
      </c>
      <c r="J530" s="1">
        <v>75795.63</v>
      </c>
    </row>
    <row r="531" spans="1:10" x14ac:dyDescent="0.25">
      <c r="A531" t="str">
        <f t="shared" si="36"/>
        <v>07/20/20</v>
      </c>
      <c r="B531" t="s">
        <v>1050</v>
      </c>
      <c r="C531" t="str">
        <f>"21225"</f>
        <v>21225</v>
      </c>
      <c r="D531" t="str">
        <f>"7068A"</f>
        <v>7068A</v>
      </c>
      <c r="E531" t="str">
        <f>"047 "</f>
        <v xml:space="preserve">047 </v>
      </c>
      <c r="F531" t="s">
        <v>1051</v>
      </c>
      <c r="G531" s="1">
        <v>40000</v>
      </c>
      <c r="H531" t="s">
        <v>30</v>
      </c>
      <c r="I531" t="s">
        <v>15</v>
      </c>
      <c r="J531" s="1">
        <v>31821.71</v>
      </c>
    </row>
    <row r="532" spans="1:10" x14ac:dyDescent="0.25">
      <c r="A532" t="str">
        <f t="shared" si="36"/>
        <v>07/20/20</v>
      </c>
      <c r="B532" t="s">
        <v>1052</v>
      </c>
      <c r="C532" t="str">
        <f>"21201"</f>
        <v>21201</v>
      </c>
      <c r="D532" t="str">
        <f>"0578 "</f>
        <v xml:space="preserve">0578 </v>
      </c>
      <c r="E532" t="str">
        <f>"019 "</f>
        <v xml:space="preserve">019 </v>
      </c>
      <c r="F532" t="s">
        <v>1053</v>
      </c>
      <c r="G532" s="1">
        <v>384000</v>
      </c>
      <c r="H532" t="s">
        <v>1054</v>
      </c>
      <c r="I532" t="s">
        <v>15</v>
      </c>
      <c r="J532" s="1">
        <v>81902.759999999995</v>
      </c>
    </row>
    <row r="533" spans="1:10" x14ac:dyDescent="0.25">
      <c r="A533" t="str">
        <f t="shared" si="36"/>
        <v>07/20/20</v>
      </c>
      <c r="B533" t="s">
        <v>1055</v>
      </c>
      <c r="C533" t="str">
        <f>"21230"</f>
        <v>21230</v>
      </c>
      <c r="D533" t="str">
        <f>"7473 "</f>
        <v xml:space="preserve">7473 </v>
      </c>
      <c r="E533" t="str">
        <f>"023 "</f>
        <v xml:space="preserve">023 </v>
      </c>
      <c r="F533" t="s">
        <v>1056</v>
      </c>
      <c r="G533" s="1">
        <v>55400</v>
      </c>
      <c r="H533" t="s">
        <v>14</v>
      </c>
      <c r="I533" t="s">
        <v>15</v>
      </c>
      <c r="J533" s="1">
        <v>28736.3</v>
      </c>
    </row>
    <row r="534" spans="1:10" x14ac:dyDescent="0.25">
      <c r="A534" t="str">
        <f t="shared" si="36"/>
        <v>07/20/20</v>
      </c>
      <c r="B534" t="s">
        <v>1057</v>
      </c>
      <c r="C534" t="str">
        <f>"21230"</f>
        <v>21230</v>
      </c>
      <c r="D534" t="str">
        <f>"7472 "</f>
        <v xml:space="preserve">7472 </v>
      </c>
      <c r="E534" t="str">
        <f>"024 "</f>
        <v xml:space="preserve">024 </v>
      </c>
      <c r="F534" t="s">
        <v>1058</v>
      </c>
      <c r="G534" s="1">
        <v>41100</v>
      </c>
      <c r="H534" t="s">
        <v>14</v>
      </c>
      <c r="I534" t="s">
        <v>15</v>
      </c>
      <c r="J534" s="1">
        <v>322581.65000000002</v>
      </c>
    </row>
    <row r="535" spans="1:10" x14ac:dyDescent="0.25">
      <c r="A535" t="str">
        <f t="shared" si="36"/>
        <v>07/20/20</v>
      </c>
      <c r="B535" t="s">
        <v>1059</v>
      </c>
      <c r="C535" t="str">
        <f>"21231"</f>
        <v>21231</v>
      </c>
      <c r="D535" t="str">
        <f>"1369 "</f>
        <v xml:space="preserve">1369 </v>
      </c>
      <c r="E535" t="str">
        <f>"055 "</f>
        <v xml:space="preserve">055 </v>
      </c>
      <c r="F535" t="s">
        <v>1060</v>
      </c>
      <c r="G535" s="1">
        <v>80000</v>
      </c>
      <c r="H535" t="s">
        <v>33</v>
      </c>
      <c r="I535" t="s">
        <v>15</v>
      </c>
      <c r="J535" s="1">
        <v>2302.89</v>
      </c>
    </row>
    <row r="536" spans="1:10" x14ac:dyDescent="0.25">
      <c r="A536" t="str">
        <f t="shared" si="36"/>
        <v>07/20/20</v>
      </c>
      <c r="B536" t="s">
        <v>1061</v>
      </c>
      <c r="C536" t="str">
        <f>"21225"</f>
        <v>21225</v>
      </c>
      <c r="D536" t="str">
        <f>"7116 "</f>
        <v xml:space="preserve">7116 </v>
      </c>
      <c r="E536" t="str">
        <f>"055 "</f>
        <v xml:space="preserve">055 </v>
      </c>
      <c r="F536" t="s">
        <v>1062</v>
      </c>
      <c r="G536" s="1">
        <v>17600</v>
      </c>
      <c r="H536" t="s">
        <v>14</v>
      </c>
      <c r="I536" t="s">
        <v>34</v>
      </c>
      <c r="J536" s="1">
        <v>29526.71</v>
      </c>
    </row>
    <row r="537" spans="1:10" x14ac:dyDescent="0.25">
      <c r="A537" t="str">
        <f t="shared" si="36"/>
        <v>07/20/20</v>
      </c>
      <c r="B537" t="s">
        <v>1063</v>
      </c>
      <c r="C537" t="str">
        <f>"21225"</f>
        <v>21225</v>
      </c>
      <c r="D537" t="str">
        <f>"7116 "</f>
        <v xml:space="preserve">7116 </v>
      </c>
      <c r="E537" t="str">
        <f>"048 "</f>
        <v xml:space="preserve">048 </v>
      </c>
      <c r="F537" t="s">
        <v>1064</v>
      </c>
      <c r="G537" s="1">
        <v>56400</v>
      </c>
      <c r="H537" t="s">
        <v>14</v>
      </c>
      <c r="I537" t="s">
        <v>15</v>
      </c>
      <c r="J537" s="1">
        <v>111440.09</v>
      </c>
    </row>
    <row r="538" spans="1:10" x14ac:dyDescent="0.25">
      <c r="A538" t="str">
        <f t="shared" si="36"/>
        <v>07/20/20</v>
      </c>
      <c r="B538" t="s">
        <v>1065</v>
      </c>
      <c r="C538" t="str">
        <f>"21225"</f>
        <v>21225</v>
      </c>
      <c r="D538" t="str">
        <f>"7116 "</f>
        <v xml:space="preserve">7116 </v>
      </c>
      <c r="E538" t="str">
        <f>"046 "</f>
        <v xml:space="preserve">046 </v>
      </c>
      <c r="F538" t="s">
        <v>1066</v>
      </c>
      <c r="G538" s="1">
        <v>18800</v>
      </c>
      <c r="H538" t="s">
        <v>14</v>
      </c>
      <c r="I538" t="s">
        <v>34</v>
      </c>
      <c r="J538" s="1">
        <v>50744.34</v>
      </c>
    </row>
    <row r="539" spans="1:10" x14ac:dyDescent="0.25">
      <c r="A539" t="str">
        <f t="shared" si="36"/>
        <v>07/20/20</v>
      </c>
      <c r="B539" t="s">
        <v>1067</v>
      </c>
      <c r="C539" t="str">
        <f>"21230"</f>
        <v>21230</v>
      </c>
      <c r="D539" t="str">
        <f>"7492C"</f>
        <v>7492C</v>
      </c>
      <c r="E539" t="str">
        <f>"325 "</f>
        <v xml:space="preserve">325 </v>
      </c>
      <c r="F539" t="s">
        <v>1068</v>
      </c>
      <c r="G539" s="1">
        <v>55200</v>
      </c>
      <c r="H539" t="s">
        <v>14</v>
      </c>
      <c r="I539" t="s">
        <v>15</v>
      </c>
      <c r="J539" s="1">
        <v>21268.31</v>
      </c>
    </row>
    <row r="540" spans="1:10" x14ac:dyDescent="0.25">
      <c r="A540" t="str">
        <f t="shared" si="36"/>
        <v>07/20/20</v>
      </c>
      <c r="B540" t="s">
        <v>1069</v>
      </c>
      <c r="C540" t="str">
        <f>"21205"</f>
        <v>21205</v>
      </c>
      <c r="D540" t="str">
        <f>"1656 "</f>
        <v xml:space="preserve">1656 </v>
      </c>
      <c r="E540" t="str">
        <f>"052 "</f>
        <v xml:space="preserve">052 </v>
      </c>
      <c r="F540" t="s">
        <v>1070</v>
      </c>
      <c r="G540" s="1">
        <v>7000</v>
      </c>
      <c r="H540" t="s">
        <v>33</v>
      </c>
      <c r="I540" t="s">
        <v>15</v>
      </c>
      <c r="J540" s="1">
        <v>23466.41</v>
      </c>
    </row>
    <row r="541" spans="1:10" x14ac:dyDescent="0.25">
      <c r="A541" t="str">
        <f t="shared" si="36"/>
        <v>07/20/20</v>
      </c>
      <c r="B541" t="s">
        <v>1071</v>
      </c>
      <c r="C541" t="str">
        <f>"21205"</f>
        <v>21205</v>
      </c>
      <c r="D541" t="str">
        <f>"1669 "</f>
        <v xml:space="preserve">1669 </v>
      </c>
      <c r="E541" t="str">
        <f>"022 "</f>
        <v xml:space="preserve">022 </v>
      </c>
      <c r="F541" t="s">
        <v>1072</v>
      </c>
      <c r="G541" s="1">
        <v>30000</v>
      </c>
      <c r="H541" t="s">
        <v>248</v>
      </c>
      <c r="I541" t="s">
        <v>15</v>
      </c>
      <c r="J541" s="1">
        <v>36850.239999999998</v>
      </c>
    </row>
    <row r="542" spans="1:10" x14ac:dyDescent="0.25">
      <c r="A542" t="str">
        <f t="shared" si="36"/>
        <v>07/20/20</v>
      </c>
      <c r="B542" t="s">
        <v>1073</v>
      </c>
      <c r="C542" t="str">
        <f>"21205"</f>
        <v>21205</v>
      </c>
      <c r="D542" t="str">
        <f>"1656 "</f>
        <v xml:space="preserve">1656 </v>
      </c>
      <c r="E542" t="str">
        <f>"054 "</f>
        <v xml:space="preserve">054 </v>
      </c>
      <c r="F542" t="s">
        <v>1074</v>
      </c>
      <c r="G542" s="1">
        <v>7000</v>
      </c>
      <c r="H542" t="s">
        <v>33</v>
      </c>
      <c r="I542" t="s">
        <v>15</v>
      </c>
      <c r="J542" s="1">
        <v>96815.52</v>
      </c>
    </row>
    <row r="543" spans="1:10" x14ac:dyDescent="0.25">
      <c r="A543" t="str">
        <f t="shared" si="36"/>
        <v>07/20/20</v>
      </c>
      <c r="B543" t="s">
        <v>1075</v>
      </c>
      <c r="C543" t="str">
        <f>"21205"</f>
        <v>21205</v>
      </c>
      <c r="D543" t="str">
        <f>"1656 "</f>
        <v xml:space="preserve">1656 </v>
      </c>
      <c r="E543" t="str">
        <f>"053 "</f>
        <v xml:space="preserve">053 </v>
      </c>
      <c r="F543" t="s">
        <v>1070</v>
      </c>
      <c r="G543" s="1">
        <v>2000</v>
      </c>
      <c r="H543" t="s">
        <v>33</v>
      </c>
      <c r="I543" t="s">
        <v>15</v>
      </c>
      <c r="J543" s="1">
        <v>13725.54</v>
      </c>
    </row>
    <row r="544" spans="1:10" x14ac:dyDescent="0.25">
      <c r="A544" t="str">
        <f t="shared" si="36"/>
        <v>07/20/20</v>
      </c>
      <c r="B544" t="s">
        <v>1076</v>
      </c>
      <c r="C544" t="str">
        <f>"21225"</f>
        <v>21225</v>
      </c>
      <c r="D544" t="str">
        <f>"7116 "</f>
        <v xml:space="preserve">7116 </v>
      </c>
      <c r="E544" t="str">
        <f>"020 "</f>
        <v xml:space="preserve">020 </v>
      </c>
      <c r="F544" t="s">
        <v>1077</v>
      </c>
      <c r="G544" s="1">
        <v>58800</v>
      </c>
      <c r="H544" t="s">
        <v>14</v>
      </c>
      <c r="I544" t="s">
        <v>34</v>
      </c>
      <c r="J544" s="1">
        <v>64031.45</v>
      </c>
    </row>
    <row r="545" spans="1:10" x14ac:dyDescent="0.25">
      <c r="A545" t="str">
        <f t="shared" si="36"/>
        <v>07/20/20</v>
      </c>
      <c r="B545" t="s">
        <v>1078</v>
      </c>
      <c r="C545" t="str">
        <f>"21206"</f>
        <v>21206</v>
      </c>
      <c r="D545" t="str">
        <f>"5936A"</f>
        <v>5936A</v>
      </c>
      <c r="E545" t="str">
        <f>"027 "</f>
        <v xml:space="preserve">027 </v>
      </c>
      <c r="F545" t="s">
        <v>1079</v>
      </c>
      <c r="G545" s="1">
        <v>24400</v>
      </c>
      <c r="H545" t="s">
        <v>137</v>
      </c>
      <c r="I545" t="s">
        <v>15</v>
      </c>
      <c r="J545" s="1">
        <v>15138.76</v>
      </c>
    </row>
    <row r="546" spans="1:10" x14ac:dyDescent="0.25">
      <c r="A546" t="str">
        <f t="shared" si="36"/>
        <v>07/20/20</v>
      </c>
      <c r="B546" t="s">
        <v>1080</v>
      </c>
      <c r="C546" t="str">
        <f>"21218"</f>
        <v>21218</v>
      </c>
      <c r="D546" t="str">
        <f>"4004 "</f>
        <v xml:space="preserve">4004 </v>
      </c>
      <c r="E546" t="str">
        <f>"019 "</f>
        <v xml:space="preserve">019 </v>
      </c>
      <c r="F546" t="s">
        <v>1081</v>
      </c>
      <c r="G546" s="1">
        <v>13000</v>
      </c>
      <c r="H546" t="s">
        <v>33</v>
      </c>
      <c r="I546" t="s">
        <v>15</v>
      </c>
      <c r="J546" s="1">
        <v>14028.1</v>
      </c>
    </row>
    <row r="547" spans="1:10" x14ac:dyDescent="0.25">
      <c r="A547" t="str">
        <f t="shared" si="36"/>
        <v>07/20/20</v>
      </c>
      <c r="B547" t="s">
        <v>1082</v>
      </c>
      <c r="C547" t="str">
        <f>"21218"</f>
        <v>21218</v>
      </c>
      <c r="D547" t="str">
        <f>"4004 "</f>
        <v xml:space="preserve">4004 </v>
      </c>
      <c r="E547" t="str">
        <f>"022 "</f>
        <v xml:space="preserve">022 </v>
      </c>
      <c r="F547" t="s">
        <v>1083</v>
      </c>
      <c r="G547" s="1">
        <v>1000</v>
      </c>
      <c r="H547" t="s">
        <v>33</v>
      </c>
      <c r="I547" t="s">
        <v>15</v>
      </c>
      <c r="J547" s="1">
        <v>28717.33</v>
      </c>
    </row>
    <row r="548" spans="1:10" x14ac:dyDescent="0.25">
      <c r="A548" t="str">
        <f t="shared" si="36"/>
        <v>07/20/20</v>
      </c>
      <c r="B548" t="s">
        <v>1084</v>
      </c>
      <c r="C548" t="str">
        <f>"21218"</f>
        <v>21218</v>
      </c>
      <c r="D548" t="str">
        <f>"4005 "</f>
        <v xml:space="preserve">4005 </v>
      </c>
      <c r="E548" t="str">
        <f>"066 "</f>
        <v xml:space="preserve">066 </v>
      </c>
      <c r="F548" t="s">
        <v>1085</v>
      </c>
      <c r="G548" s="1">
        <v>1000</v>
      </c>
      <c r="H548" t="s">
        <v>33</v>
      </c>
      <c r="I548" t="s">
        <v>15</v>
      </c>
      <c r="J548" s="1">
        <v>140713.1</v>
      </c>
    </row>
    <row r="549" spans="1:10" x14ac:dyDescent="0.25">
      <c r="A549" t="str">
        <f t="shared" si="36"/>
        <v>07/20/20</v>
      </c>
      <c r="B549" t="s">
        <v>1086</v>
      </c>
      <c r="C549" t="str">
        <f>"21218"</f>
        <v>21218</v>
      </c>
      <c r="D549" t="str">
        <f>"4004 "</f>
        <v xml:space="preserve">4004 </v>
      </c>
      <c r="E549" t="str">
        <f>"027 "</f>
        <v xml:space="preserve">027 </v>
      </c>
      <c r="F549" t="s">
        <v>1087</v>
      </c>
      <c r="G549" s="1">
        <v>1000</v>
      </c>
      <c r="H549" t="s">
        <v>33</v>
      </c>
      <c r="I549" t="s">
        <v>15</v>
      </c>
      <c r="J549" s="1">
        <v>84398.68</v>
      </c>
    </row>
    <row r="550" spans="1:10" x14ac:dyDescent="0.25">
      <c r="A550" t="str">
        <f t="shared" si="36"/>
        <v>07/20/20</v>
      </c>
      <c r="B550" t="s">
        <v>1088</v>
      </c>
      <c r="C550" t="str">
        <f>"21218"</f>
        <v>21218</v>
      </c>
      <c r="D550" t="str">
        <f>"4013A"</f>
        <v>4013A</v>
      </c>
      <c r="E550" t="str">
        <f>"016 "</f>
        <v xml:space="preserve">016 </v>
      </c>
      <c r="F550" t="s">
        <v>778</v>
      </c>
      <c r="G550" s="1">
        <v>17000</v>
      </c>
      <c r="H550" t="s">
        <v>33</v>
      </c>
      <c r="I550" t="s">
        <v>15</v>
      </c>
      <c r="J550" s="1">
        <v>13683.47</v>
      </c>
    </row>
    <row r="551" spans="1:10" x14ac:dyDescent="0.25">
      <c r="A551" t="str">
        <f t="shared" si="36"/>
        <v>07/20/20</v>
      </c>
      <c r="B551" t="s">
        <v>1089</v>
      </c>
      <c r="C551" t="str">
        <f>"21213"</f>
        <v>21213</v>
      </c>
      <c r="D551" t="str">
        <f>"5906 "</f>
        <v xml:space="preserve">5906 </v>
      </c>
      <c r="E551" t="str">
        <f>"027 "</f>
        <v xml:space="preserve">027 </v>
      </c>
      <c r="F551" t="s">
        <v>1090</v>
      </c>
      <c r="G551" s="1">
        <v>73300</v>
      </c>
      <c r="H551" t="s">
        <v>30</v>
      </c>
      <c r="I551" t="s">
        <v>34</v>
      </c>
      <c r="J551" s="1">
        <v>49041.98</v>
      </c>
    </row>
    <row r="552" spans="1:10" x14ac:dyDescent="0.25">
      <c r="A552" t="str">
        <f t="shared" si="36"/>
        <v>07/20/20</v>
      </c>
      <c r="B552" t="s">
        <v>1091</v>
      </c>
      <c r="C552" t="str">
        <f>"21215"</f>
        <v>21215</v>
      </c>
      <c r="D552" t="str">
        <f>"3177A"</f>
        <v>3177A</v>
      </c>
      <c r="E552" t="str">
        <f>"031 "</f>
        <v xml:space="preserve">031 </v>
      </c>
      <c r="F552" t="s">
        <v>1092</v>
      </c>
      <c r="G552" s="1">
        <v>45000</v>
      </c>
      <c r="H552" t="s">
        <v>14</v>
      </c>
      <c r="I552" t="s">
        <v>34</v>
      </c>
      <c r="J552" s="1">
        <v>26293.29</v>
      </c>
    </row>
    <row r="553" spans="1:10" x14ac:dyDescent="0.25">
      <c r="A553" t="str">
        <f t="shared" si="36"/>
        <v>07/20/20</v>
      </c>
      <c r="B553" t="s">
        <v>1093</v>
      </c>
      <c r="C553" t="str">
        <f>"21229"</f>
        <v>21229</v>
      </c>
      <c r="D553" t="str">
        <f>"2256 "</f>
        <v xml:space="preserve">2256 </v>
      </c>
      <c r="E553" t="str">
        <f>"041 "</f>
        <v xml:space="preserve">041 </v>
      </c>
      <c r="F553" t="s">
        <v>1094</v>
      </c>
      <c r="G553" s="1">
        <v>4700</v>
      </c>
      <c r="H553" t="s">
        <v>91</v>
      </c>
      <c r="I553" t="s">
        <v>15</v>
      </c>
      <c r="J553" s="1">
        <v>13634.88</v>
      </c>
    </row>
    <row r="554" spans="1:10" x14ac:dyDescent="0.25">
      <c r="A554" t="str">
        <f t="shared" si="36"/>
        <v>07/20/20</v>
      </c>
      <c r="B554" t="s">
        <v>1095</v>
      </c>
      <c r="C554" t="str">
        <f>"21229"</f>
        <v>21229</v>
      </c>
      <c r="D554" t="str">
        <f>"2256 "</f>
        <v xml:space="preserve">2256 </v>
      </c>
      <c r="E554" t="str">
        <f>"040 "</f>
        <v xml:space="preserve">040 </v>
      </c>
      <c r="F554" t="s">
        <v>1096</v>
      </c>
      <c r="G554" s="1">
        <v>2400</v>
      </c>
      <c r="H554" t="s">
        <v>91</v>
      </c>
      <c r="I554" t="s">
        <v>15</v>
      </c>
      <c r="J554" s="1">
        <v>28196.81</v>
      </c>
    </row>
    <row r="555" spans="1:10" x14ac:dyDescent="0.25">
      <c r="A555" t="str">
        <f t="shared" si="36"/>
        <v>07/20/20</v>
      </c>
      <c r="B555" t="s">
        <v>1097</v>
      </c>
      <c r="C555" t="str">
        <f>"21223"</f>
        <v>21223</v>
      </c>
      <c r="D555" t="str">
        <f>"0265 "</f>
        <v xml:space="preserve">0265 </v>
      </c>
      <c r="E555" t="str">
        <f>"092 "</f>
        <v xml:space="preserve">092 </v>
      </c>
      <c r="F555" t="s">
        <v>1098</v>
      </c>
      <c r="G555" s="1">
        <v>25000</v>
      </c>
      <c r="H555" t="s">
        <v>33</v>
      </c>
      <c r="I555" t="s">
        <v>15</v>
      </c>
      <c r="J555" s="1">
        <v>17250.93</v>
      </c>
    </row>
    <row r="556" spans="1:10" x14ac:dyDescent="0.25">
      <c r="A556" t="str">
        <f t="shared" si="36"/>
        <v>07/20/20</v>
      </c>
      <c r="B556" t="s">
        <v>1099</v>
      </c>
      <c r="C556" t="str">
        <f>"21202"</f>
        <v>21202</v>
      </c>
      <c r="D556" t="str">
        <f>"1099B"</f>
        <v>1099B</v>
      </c>
      <c r="E556" t="str">
        <f>"005 "</f>
        <v xml:space="preserve">005 </v>
      </c>
      <c r="F556" t="s">
        <v>1100</v>
      </c>
      <c r="G556" s="1">
        <v>1000</v>
      </c>
      <c r="H556" t="s">
        <v>33</v>
      </c>
      <c r="I556" t="s">
        <v>15</v>
      </c>
      <c r="J556" s="1">
        <v>2417.5300000000002</v>
      </c>
    </row>
    <row r="557" spans="1:10" x14ac:dyDescent="0.25">
      <c r="A557" t="str">
        <f t="shared" si="36"/>
        <v>07/20/20</v>
      </c>
      <c r="B557" t="s">
        <v>1101</v>
      </c>
      <c r="C557" t="str">
        <f>"21213"</f>
        <v>21213</v>
      </c>
      <c r="D557" t="str">
        <f>"1101 "</f>
        <v xml:space="preserve">1101 </v>
      </c>
      <c r="E557" t="str">
        <f>"065 "</f>
        <v xml:space="preserve">065 </v>
      </c>
      <c r="F557" t="s">
        <v>1102</v>
      </c>
      <c r="G557" s="1">
        <v>1000</v>
      </c>
      <c r="H557" t="s">
        <v>33</v>
      </c>
      <c r="I557" t="s">
        <v>15</v>
      </c>
      <c r="J557" s="1">
        <v>165961.15</v>
      </c>
    </row>
    <row r="558" spans="1:10" x14ac:dyDescent="0.25">
      <c r="A558" t="str">
        <f t="shared" si="36"/>
        <v>07/20/20</v>
      </c>
      <c r="B558" t="s">
        <v>1103</v>
      </c>
      <c r="C558" t="str">
        <f>"21213"</f>
        <v>21213</v>
      </c>
      <c r="D558" t="str">
        <f>"1102 "</f>
        <v xml:space="preserve">1102 </v>
      </c>
      <c r="E558" t="str">
        <f>"022 "</f>
        <v xml:space="preserve">022 </v>
      </c>
      <c r="F558" t="s">
        <v>1104</v>
      </c>
      <c r="G558" s="1">
        <v>1000</v>
      </c>
      <c r="H558" t="s">
        <v>33</v>
      </c>
      <c r="I558" t="s">
        <v>15</v>
      </c>
      <c r="J558" s="1">
        <v>593439.56000000006</v>
      </c>
    </row>
    <row r="559" spans="1:10" x14ac:dyDescent="0.25">
      <c r="A559" t="str">
        <f t="shared" si="36"/>
        <v>07/20/20</v>
      </c>
      <c r="B559" t="s">
        <v>1105</v>
      </c>
      <c r="C559" t="str">
        <f t="shared" ref="C559:C567" si="38">"21217"</f>
        <v>21217</v>
      </c>
      <c r="D559" t="str">
        <f>"0077 "</f>
        <v xml:space="preserve">0077 </v>
      </c>
      <c r="E559" t="str">
        <f>"038 "</f>
        <v xml:space="preserve">038 </v>
      </c>
      <c r="F559" t="s">
        <v>1106</v>
      </c>
      <c r="G559" s="1">
        <v>7000</v>
      </c>
      <c r="H559" t="s">
        <v>33</v>
      </c>
      <c r="I559" t="s">
        <v>34</v>
      </c>
      <c r="J559" s="1">
        <v>7050.23</v>
      </c>
    </row>
    <row r="560" spans="1:10" x14ac:dyDescent="0.25">
      <c r="A560" t="str">
        <f t="shared" si="36"/>
        <v>07/20/20</v>
      </c>
      <c r="B560" t="s">
        <v>1107</v>
      </c>
      <c r="C560" t="str">
        <f t="shared" si="38"/>
        <v>21217</v>
      </c>
      <c r="D560" t="str">
        <f>"0089 "</f>
        <v xml:space="preserve">0089 </v>
      </c>
      <c r="E560" t="str">
        <f>"028 "</f>
        <v xml:space="preserve">028 </v>
      </c>
      <c r="F560" t="s">
        <v>599</v>
      </c>
      <c r="G560" s="1">
        <v>6000</v>
      </c>
      <c r="H560" t="s">
        <v>33</v>
      </c>
      <c r="I560" t="s">
        <v>34</v>
      </c>
      <c r="J560" s="1">
        <v>24081.31</v>
      </c>
    </row>
    <row r="561" spans="1:10" x14ac:dyDescent="0.25">
      <c r="A561" t="str">
        <f t="shared" si="36"/>
        <v>07/20/20</v>
      </c>
      <c r="B561" t="s">
        <v>1108</v>
      </c>
      <c r="C561" t="str">
        <f t="shared" si="38"/>
        <v>21217</v>
      </c>
      <c r="D561" t="str">
        <f t="shared" ref="D561:D567" si="39">"0086 "</f>
        <v xml:space="preserve">0086 </v>
      </c>
      <c r="E561" t="str">
        <f>"038 "</f>
        <v xml:space="preserve">038 </v>
      </c>
      <c r="F561" t="s">
        <v>1109</v>
      </c>
      <c r="G561" s="1">
        <v>1000</v>
      </c>
      <c r="H561" t="s">
        <v>33</v>
      </c>
      <c r="I561" t="s">
        <v>15</v>
      </c>
      <c r="J561" s="1">
        <v>122799.11</v>
      </c>
    </row>
    <row r="562" spans="1:10" x14ac:dyDescent="0.25">
      <c r="A562" t="str">
        <f t="shared" si="36"/>
        <v>07/20/20</v>
      </c>
      <c r="B562" t="s">
        <v>1110</v>
      </c>
      <c r="C562" t="str">
        <f t="shared" si="38"/>
        <v>21217</v>
      </c>
      <c r="D562" t="str">
        <f t="shared" si="39"/>
        <v xml:space="preserve">0086 </v>
      </c>
      <c r="E562" t="str">
        <f>"039 "</f>
        <v xml:space="preserve">039 </v>
      </c>
      <c r="F562" t="s">
        <v>1111</v>
      </c>
      <c r="G562" s="1">
        <v>1000</v>
      </c>
      <c r="H562" t="s">
        <v>33</v>
      </c>
      <c r="I562" t="s">
        <v>15</v>
      </c>
      <c r="J562" s="1">
        <v>181154.48</v>
      </c>
    </row>
    <row r="563" spans="1:10" x14ac:dyDescent="0.25">
      <c r="A563" t="str">
        <f t="shared" si="36"/>
        <v>07/20/20</v>
      </c>
      <c r="B563" t="s">
        <v>1112</v>
      </c>
      <c r="C563" t="str">
        <f t="shared" si="38"/>
        <v>21217</v>
      </c>
      <c r="D563" t="str">
        <f t="shared" si="39"/>
        <v xml:space="preserve">0086 </v>
      </c>
      <c r="E563" t="str">
        <f>"036 "</f>
        <v xml:space="preserve">036 </v>
      </c>
      <c r="F563" t="s">
        <v>1113</v>
      </c>
      <c r="G563" s="1">
        <v>1000</v>
      </c>
      <c r="H563" t="s">
        <v>33</v>
      </c>
      <c r="I563" t="s">
        <v>15</v>
      </c>
      <c r="J563" s="1">
        <v>80123.240000000005</v>
      </c>
    </row>
    <row r="564" spans="1:10" x14ac:dyDescent="0.25">
      <c r="A564" t="str">
        <f t="shared" si="36"/>
        <v>07/20/20</v>
      </c>
      <c r="B564" t="s">
        <v>1114</v>
      </c>
      <c r="C564" t="str">
        <f t="shared" si="38"/>
        <v>21217</v>
      </c>
      <c r="D564" t="str">
        <f t="shared" si="39"/>
        <v xml:space="preserve">0086 </v>
      </c>
      <c r="E564" t="str">
        <f>"045 "</f>
        <v xml:space="preserve">045 </v>
      </c>
      <c r="F564" t="s">
        <v>1115</v>
      </c>
      <c r="G564" s="1">
        <v>1000</v>
      </c>
      <c r="H564" t="s">
        <v>33</v>
      </c>
      <c r="I564" t="s">
        <v>15</v>
      </c>
      <c r="J564" s="1">
        <v>86358.74</v>
      </c>
    </row>
    <row r="565" spans="1:10" x14ac:dyDescent="0.25">
      <c r="A565" t="str">
        <f t="shared" si="36"/>
        <v>07/20/20</v>
      </c>
      <c r="B565" t="s">
        <v>1116</v>
      </c>
      <c r="C565" t="str">
        <f t="shared" si="38"/>
        <v>21217</v>
      </c>
      <c r="D565" t="str">
        <f t="shared" si="39"/>
        <v xml:space="preserve">0086 </v>
      </c>
      <c r="E565" t="str">
        <f>"044 "</f>
        <v xml:space="preserve">044 </v>
      </c>
      <c r="F565" t="s">
        <v>1117</v>
      </c>
      <c r="G565" s="1">
        <v>1000</v>
      </c>
      <c r="H565" t="s">
        <v>33</v>
      </c>
      <c r="I565" t="s">
        <v>15</v>
      </c>
      <c r="J565" s="1">
        <v>78511.199999999997</v>
      </c>
    </row>
    <row r="566" spans="1:10" x14ac:dyDescent="0.25">
      <c r="A566" t="str">
        <f t="shared" si="36"/>
        <v>07/20/20</v>
      </c>
      <c r="B566" t="s">
        <v>1118</v>
      </c>
      <c r="C566" t="str">
        <f t="shared" si="38"/>
        <v>21217</v>
      </c>
      <c r="D566" t="str">
        <f t="shared" si="39"/>
        <v xml:space="preserve">0086 </v>
      </c>
      <c r="E566" t="str">
        <f>"035 "</f>
        <v xml:space="preserve">035 </v>
      </c>
      <c r="F566" t="s">
        <v>1113</v>
      </c>
      <c r="G566" s="1">
        <v>1000</v>
      </c>
      <c r="H566" t="s">
        <v>33</v>
      </c>
      <c r="I566" t="s">
        <v>15</v>
      </c>
      <c r="J566" s="1">
        <v>26267.599999999999</v>
      </c>
    </row>
    <row r="567" spans="1:10" x14ac:dyDescent="0.25">
      <c r="A567" t="str">
        <f t="shared" si="36"/>
        <v>07/20/20</v>
      </c>
      <c r="B567" t="s">
        <v>1119</v>
      </c>
      <c r="C567" t="str">
        <f t="shared" si="38"/>
        <v>21217</v>
      </c>
      <c r="D567" t="str">
        <f t="shared" si="39"/>
        <v xml:space="preserve">0086 </v>
      </c>
      <c r="E567" t="str">
        <f>"034 "</f>
        <v xml:space="preserve">034 </v>
      </c>
      <c r="F567" t="s">
        <v>1113</v>
      </c>
      <c r="G567" s="1">
        <v>1000</v>
      </c>
      <c r="H567" t="s">
        <v>33</v>
      </c>
      <c r="I567" t="s">
        <v>15</v>
      </c>
      <c r="J567" s="1">
        <v>42633.37</v>
      </c>
    </row>
    <row r="568" spans="1:10" x14ac:dyDescent="0.25">
      <c r="A568" t="str">
        <f t="shared" si="36"/>
        <v>07/20/20</v>
      </c>
      <c r="B568" t="s">
        <v>1120</v>
      </c>
      <c r="C568" t="str">
        <f t="shared" ref="C568:C584" si="40">"21216"</f>
        <v>21216</v>
      </c>
      <c r="D568" t="str">
        <f>"2470 "</f>
        <v xml:space="preserve">2470 </v>
      </c>
      <c r="E568" t="str">
        <f>"043 "</f>
        <v xml:space="preserve">043 </v>
      </c>
      <c r="F568" t="s">
        <v>1121</v>
      </c>
      <c r="G568" s="1">
        <v>19100</v>
      </c>
      <c r="H568" t="s">
        <v>14</v>
      </c>
      <c r="I568" t="s">
        <v>34</v>
      </c>
      <c r="J568" s="1">
        <v>79112.3</v>
      </c>
    </row>
    <row r="569" spans="1:10" x14ac:dyDescent="0.25">
      <c r="A569" t="str">
        <f t="shared" si="36"/>
        <v>07/20/20</v>
      </c>
      <c r="B569" t="s">
        <v>1122</v>
      </c>
      <c r="C569" t="str">
        <f t="shared" si="40"/>
        <v>21216</v>
      </c>
      <c r="D569" t="str">
        <f>"2387 "</f>
        <v xml:space="preserve">2387 </v>
      </c>
      <c r="E569" t="str">
        <f>"014 "</f>
        <v xml:space="preserve">014 </v>
      </c>
      <c r="F569" t="s">
        <v>1123</v>
      </c>
      <c r="G569" s="1">
        <v>7000</v>
      </c>
      <c r="H569" t="s">
        <v>14</v>
      </c>
      <c r="I569" t="s">
        <v>34</v>
      </c>
      <c r="J569" s="1">
        <v>127309.79</v>
      </c>
    </row>
    <row r="570" spans="1:10" x14ac:dyDescent="0.25">
      <c r="A570" t="str">
        <f t="shared" si="36"/>
        <v>07/20/20</v>
      </c>
      <c r="B570" t="s">
        <v>1124</v>
      </c>
      <c r="C570" t="str">
        <f t="shared" si="40"/>
        <v>21216</v>
      </c>
      <c r="D570" t="str">
        <f>"2387 "</f>
        <v xml:space="preserve">2387 </v>
      </c>
      <c r="E570" t="str">
        <f>"012 "</f>
        <v xml:space="preserve">012 </v>
      </c>
      <c r="F570" t="s">
        <v>1125</v>
      </c>
      <c r="G570" s="1">
        <v>7000</v>
      </c>
      <c r="H570" t="s">
        <v>14</v>
      </c>
      <c r="I570" t="s">
        <v>34</v>
      </c>
      <c r="J570" s="1">
        <v>59087.46</v>
      </c>
    </row>
    <row r="571" spans="1:10" x14ac:dyDescent="0.25">
      <c r="A571" t="str">
        <f t="shared" si="36"/>
        <v>07/20/20</v>
      </c>
      <c r="B571" t="s">
        <v>1126</v>
      </c>
      <c r="C571" t="str">
        <f t="shared" si="40"/>
        <v>21216</v>
      </c>
      <c r="D571" t="str">
        <f>"2387 "</f>
        <v xml:space="preserve">2387 </v>
      </c>
      <c r="E571" t="str">
        <f>"006 "</f>
        <v xml:space="preserve">006 </v>
      </c>
      <c r="F571" t="s">
        <v>1127</v>
      </c>
      <c r="G571" s="1">
        <v>7000</v>
      </c>
      <c r="H571" t="s">
        <v>14</v>
      </c>
      <c r="I571" t="s">
        <v>34</v>
      </c>
      <c r="J571" s="1">
        <v>93246.98</v>
      </c>
    </row>
    <row r="572" spans="1:10" x14ac:dyDescent="0.25">
      <c r="A572" t="str">
        <f t="shared" si="36"/>
        <v>07/20/20</v>
      </c>
      <c r="B572" t="s">
        <v>1128</v>
      </c>
      <c r="C572" t="str">
        <f t="shared" si="40"/>
        <v>21216</v>
      </c>
      <c r="D572" t="str">
        <f>"2387 "</f>
        <v xml:space="preserve">2387 </v>
      </c>
      <c r="E572" t="str">
        <f>"007 "</f>
        <v xml:space="preserve">007 </v>
      </c>
      <c r="F572" t="s">
        <v>1129</v>
      </c>
      <c r="G572" s="1">
        <v>7000</v>
      </c>
      <c r="H572" t="s">
        <v>14</v>
      </c>
      <c r="I572" t="s">
        <v>34</v>
      </c>
      <c r="J572" s="1">
        <v>53506.25</v>
      </c>
    </row>
    <row r="573" spans="1:10" x14ac:dyDescent="0.25">
      <c r="A573" t="str">
        <f t="shared" si="36"/>
        <v>07/20/20</v>
      </c>
      <c r="B573" t="s">
        <v>1130</v>
      </c>
      <c r="C573" t="str">
        <f t="shared" si="40"/>
        <v>21216</v>
      </c>
      <c r="D573" t="str">
        <f>"2385 "</f>
        <v xml:space="preserve">2385 </v>
      </c>
      <c r="E573" t="str">
        <f>"067 "</f>
        <v xml:space="preserve">067 </v>
      </c>
      <c r="F573" t="s">
        <v>1131</v>
      </c>
      <c r="G573" s="1">
        <v>17000</v>
      </c>
      <c r="H573" t="s">
        <v>14</v>
      </c>
      <c r="I573" t="s">
        <v>15</v>
      </c>
      <c r="J573" s="1">
        <v>35663</v>
      </c>
    </row>
    <row r="574" spans="1:10" x14ac:dyDescent="0.25">
      <c r="A574" t="str">
        <f t="shared" si="36"/>
        <v>07/20/20</v>
      </c>
      <c r="B574" t="s">
        <v>1132</v>
      </c>
      <c r="C574" t="str">
        <f t="shared" si="40"/>
        <v>21216</v>
      </c>
      <c r="D574" t="str">
        <f>"2387 "</f>
        <v xml:space="preserve">2387 </v>
      </c>
      <c r="E574" t="str">
        <f>"005 "</f>
        <v xml:space="preserve">005 </v>
      </c>
      <c r="F574" t="s">
        <v>1133</v>
      </c>
      <c r="G574" s="1">
        <v>7000</v>
      </c>
      <c r="H574" t="s">
        <v>14</v>
      </c>
      <c r="I574" t="s">
        <v>34</v>
      </c>
      <c r="J574" s="1">
        <v>38426.01</v>
      </c>
    </row>
    <row r="575" spans="1:10" x14ac:dyDescent="0.25">
      <c r="A575" t="str">
        <f t="shared" si="36"/>
        <v>07/20/20</v>
      </c>
      <c r="B575" t="s">
        <v>1134</v>
      </c>
      <c r="C575" t="str">
        <f t="shared" si="40"/>
        <v>21216</v>
      </c>
      <c r="D575" t="str">
        <f>"2385 "</f>
        <v xml:space="preserve">2385 </v>
      </c>
      <c r="E575" t="str">
        <f>"036 "</f>
        <v xml:space="preserve">036 </v>
      </c>
      <c r="F575" t="s">
        <v>1135</v>
      </c>
      <c r="G575" s="1">
        <v>7000</v>
      </c>
      <c r="H575" t="s">
        <v>14</v>
      </c>
      <c r="I575" t="s">
        <v>15</v>
      </c>
      <c r="J575" s="1">
        <v>186694.41</v>
      </c>
    </row>
    <row r="576" spans="1:10" x14ac:dyDescent="0.25">
      <c r="A576" t="str">
        <f t="shared" si="36"/>
        <v>07/20/20</v>
      </c>
      <c r="B576" t="s">
        <v>1136</v>
      </c>
      <c r="C576" t="str">
        <f t="shared" si="40"/>
        <v>21216</v>
      </c>
      <c r="D576" t="str">
        <f t="shared" ref="D576:D582" si="41">"2380 "</f>
        <v xml:space="preserve">2380 </v>
      </c>
      <c r="E576" t="str">
        <f>"071 "</f>
        <v xml:space="preserve">071 </v>
      </c>
      <c r="F576" t="s">
        <v>1137</v>
      </c>
      <c r="G576" s="1">
        <v>7000</v>
      </c>
      <c r="H576" t="s">
        <v>14</v>
      </c>
      <c r="I576" t="s">
        <v>15</v>
      </c>
      <c r="J576" s="1">
        <v>77435.5</v>
      </c>
    </row>
    <row r="577" spans="1:10" x14ac:dyDescent="0.25">
      <c r="A577" t="str">
        <f t="shared" si="36"/>
        <v>07/20/20</v>
      </c>
      <c r="B577" t="s">
        <v>1138</v>
      </c>
      <c r="C577" t="str">
        <f t="shared" si="40"/>
        <v>21216</v>
      </c>
      <c r="D577" t="str">
        <f t="shared" si="41"/>
        <v xml:space="preserve">2380 </v>
      </c>
      <c r="E577" t="str">
        <f>"052 "</f>
        <v xml:space="preserve">052 </v>
      </c>
      <c r="F577" t="s">
        <v>1139</v>
      </c>
      <c r="G577" s="1">
        <v>1000</v>
      </c>
      <c r="H577" t="s">
        <v>14</v>
      </c>
      <c r="I577" t="s">
        <v>15</v>
      </c>
      <c r="J577" s="1">
        <v>154346.76999999999</v>
      </c>
    </row>
    <row r="578" spans="1:10" x14ac:dyDescent="0.25">
      <c r="A578" t="str">
        <f t="shared" si="36"/>
        <v>07/20/20</v>
      </c>
      <c r="B578" t="s">
        <v>1140</v>
      </c>
      <c r="C578" t="str">
        <f t="shared" si="40"/>
        <v>21216</v>
      </c>
      <c r="D578" t="str">
        <f t="shared" si="41"/>
        <v xml:space="preserve">2380 </v>
      </c>
      <c r="E578" t="str">
        <f>"055 "</f>
        <v xml:space="preserve">055 </v>
      </c>
      <c r="F578" t="s">
        <v>1141</v>
      </c>
      <c r="G578" s="1">
        <v>17000</v>
      </c>
      <c r="H578" t="s">
        <v>14</v>
      </c>
      <c r="I578" t="s">
        <v>15</v>
      </c>
      <c r="J578" s="1">
        <v>19364.09</v>
      </c>
    </row>
    <row r="579" spans="1:10" x14ac:dyDescent="0.25">
      <c r="A579" t="str">
        <f t="shared" ref="A579:A642" si="42">"07/20/20"</f>
        <v>07/20/20</v>
      </c>
      <c r="B579" t="s">
        <v>1142</v>
      </c>
      <c r="C579" t="str">
        <f t="shared" si="40"/>
        <v>21216</v>
      </c>
      <c r="D579" t="str">
        <f t="shared" si="41"/>
        <v xml:space="preserve">2380 </v>
      </c>
      <c r="E579" t="str">
        <f>"047 "</f>
        <v xml:space="preserve">047 </v>
      </c>
      <c r="F579" t="s">
        <v>1143</v>
      </c>
      <c r="G579" s="1">
        <v>1000</v>
      </c>
      <c r="H579" t="s">
        <v>14</v>
      </c>
      <c r="I579" t="s">
        <v>15</v>
      </c>
      <c r="J579" s="1">
        <v>63938.17</v>
      </c>
    </row>
    <row r="580" spans="1:10" x14ac:dyDescent="0.25">
      <c r="A580" t="str">
        <f t="shared" si="42"/>
        <v>07/20/20</v>
      </c>
      <c r="B580" t="s">
        <v>1144</v>
      </c>
      <c r="C580" t="str">
        <f t="shared" si="40"/>
        <v>21216</v>
      </c>
      <c r="D580" t="str">
        <f t="shared" si="41"/>
        <v xml:space="preserve">2380 </v>
      </c>
      <c r="E580" t="str">
        <f>"039 "</f>
        <v xml:space="preserve">039 </v>
      </c>
      <c r="F580" t="s">
        <v>1145</v>
      </c>
      <c r="G580" s="1">
        <v>7000</v>
      </c>
      <c r="H580" t="s">
        <v>14</v>
      </c>
      <c r="I580" t="s">
        <v>34</v>
      </c>
      <c r="J580" s="1">
        <v>26223.27</v>
      </c>
    </row>
    <row r="581" spans="1:10" x14ac:dyDescent="0.25">
      <c r="A581" t="str">
        <f t="shared" si="42"/>
        <v>07/20/20</v>
      </c>
      <c r="B581" t="s">
        <v>1146</v>
      </c>
      <c r="C581" t="str">
        <f t="shared" si="40"/>
        <v>21216</v>
      </c>
      <c r="D581" t="str">
        <f t="shared" si="41"/>
        <v xml:space="preserve">2380 </v>
      </c>
      <c r="E581" t="str">
        <f>"048 "</f>
        <v xml:space="preserve">048 </v>
      </c>
      <c r="F581" t="s">
        <v>1147</v>
      </c>
      <c r="G581" s="1">
        <v>1000</v>
      </c>
      <c r="H581" t="s">
        <v>14</v>
      </c>
      <c r="I581" t="s">
        <v>15</v>
      </c>
      <c r="J581" s="1">
        <v>107410.28</v>
      </c>
    </row>
    <row r="582" spans="1:10" x14ac:dyDescent="0.25">
      <c r="A582" t="str">
        <f t="shared" si="42"/>
        <v>07/20/20</v>
      </c>
      <c r="B582" t="s">
        <v>1148</v>
      </c>
      <c r="C582" t="str">
        <f t="shared" si="40"/>
        <v>21216</v>
      </c>
      <c r="D582" t="str">
        <f t="shared" si="41"/>
        <v xml:space="preserve">2380 </v>
      </c>
      <c r="E582" t="str">
        <f>"041 "</f>
        <v xml:space="preserve">041 </v>
      </c>
      <c r="F582" t="s">
        <v>1149</v>
      </c>
      <c r="G582" s="1">
        <v>15000</v>
      </c>
      <c r="H582" t="s">
        <v>14</v>
      </c>
      <c r="I582" t="s">
        <v>15</v>
      </c>
      <c r="J582" s="1">
        <v>90189.119999999995</v>
      </c>
    </row>
    <row r="583" spans="1:10" x14ac:dyDescent="0.25">
      <c r="A583" t="str">
        <f t="shared" si="42"/>
        <v>07/20/20</v>
      </c>
      <c r="B583" t="s">
        <v>1150</v>
      </c>
      <c r="C583" t="str">
        <f t="shared" si="40"/>
        <v>21216</v>
      </c>
      <c r="D583" t="str">
        <f>"2472 "</f>
        <v xml:space="preserve">2472 </v>
      </c>
      <c r="E583" t="str">
        <f>"023 "</f>
        <v xml:space="preserve">023 </v>
      </c>
      <c r="F583" t="s">
        <v>1151</v>
      </c>
      <c r="G583" s="1">
        <v>7000</v>
      </c>
      <c r="H583" t="s">
        <v>14</v>
      </c>
      <c r="I583" t="s">
        <v>34</v>
      </c>
      <c r="J583" s="1">
        <v>16435.98</v>
      </c>
    </row>
    <row r="584" spans="1:10" x14ac:dyDescent="0.25">
      <c r="A584" t="str">
        <f t="shared" si="42"/>
        <v>07/20/20</v>
      </c>
      <c r="B584" t="s">
        <v>1152</v>
      </c>
      <c r="C584" t="str">
        <f t="shared" si="40"/>
        <v>21216</v>
      </c>
      <c r="D584" t="str">
        <f>"2475F"</f>
        <v>2475F</v>
      </c>
      <c r="E584" t="str">
        <f>"020 "</f>
        <v xml:space="preserve">020 </v>
      </c>
      <c r="F584" t="s">
        <v>1153</v>
      </c>
      <c r="G584" s="1">
        <v>18500</v>
      </c>
      <c r="H584" t="s">
        <v>14</v>
      </c>
      <c r="I584" t="s">
        <v>15</v>
      </c>
      <c r="J584" s="1">
        <v>7780.85</v>
      </c>
    </row>
    <row r="585" spans="1:10" x14ac:dyDescent="0.25">
      <c r="A585" t="str">
        <f t="shared" si="42"/>
        <v>07/20/20</v>
      </c>
      <c r="B585" t="s">
        <v>1154</v>
      </c>
      <c r="C585" t="str">
        <f t="shared" ref="C585:C609" si="43">"21217"</f>
        <v>21217</v>
      </c>
      <c r="D585" t="str">
        <f>"0104 "</f>
        <v xml:space="preserve">0104 </v>
      </c>
      <c r="E585" t="str">
        <f>"002 "</f>
        <v xml:space="preserve">002 </v>
      </c>
      <c r="F585" t="s">
        <v>1155</v>
      </c>
      <c r="G585" s="1">
        <v>2000</v>
      </c>
      <c r="H585" t="s">
        <v>33</v>
      </c>
      <c r="I585" t="s">
        <v>15</v>
      </c>
      <c r="J585" s="1">
        <v>152973.31</v>
      </c>
    </row>
    <row r="586" spans="1:10" x14ac:dyDescent="0.25">
      <c r="A586" t="str">
        <f t="shared" si="42"/>
        <v>07/20/20</v>
      </c>
      <c r="B586" t="s">
        <v>1156</v>
      </c>
      <c r="C586" t="str">
        <f t="shared" si="43"/>
        <v>21217</v>
      </c>
      <c r="D586" t="str">
        <f>"0104 "</f>
        <v xml:space="preserve">0104 </v>
      </c>
      <c r="E586" t="str">
        <f>"001 "</f>
        <v xml:space="preserve">001 </v>
      </c>
      <c r="F586" t="s">
        <v>1155</v>
      </c>
      <c r="G586" s="1">
        <v>2000</v>
      </c>
      <c r="H586" t="s">
        <v>33</v>
      </c>
      <c r="I586" t="s">
        <v>15</v>
      </c>
      <c r="J586" s="1">
        <v>40579.49</v>
      </c>
    </row>
    <row r="587" spans="1:10" x14ac:dyDescent="0.25">
      <c r="A587" t="str">
        <f t="shared" si="42"/>
        <v>07/20/20</v>
      </c>
      <c r="B587" t="s">
        <v>1157</v>
      </c>
      <c r="C587" t="str">
        <f t="shared" si="43"/>
        <v>21217</v>
      </c>
      <c r="D587" t="str">
        <f>"0098 "</f>
        <v xml:space="preserve">0098 </v>
      </c>
      <c r="E587" t="str">
        <f>"043 "</f>
        <v xml:space="preserve">043 </v>
      </c>
      <c r="F587" t="s">
        <v>1158</v>
      </c>
      <c r="G587" s="1">
        <v>1000</v>
      </c>
      <c r="H587" t="s">
        <v>33</v>
      </c>
      <c r="I587" t="s">
        <v>15</v>
      </c>
      <c r="J587" s="1">
        <v>125827.42</v>
      </c>
    </row>
    <row r="588" spans="1:10" x14ac:dyDescent="0.25">
      <c r="A588" t="str">
        <f t="shared" si="42"/>
        <v>07/20/20</v>
      </c>
      <c r="B588" t="s">
        <v>1159</v>
      </c>
      <c r="C588" t="str">
        <f t="shared" si="43"/>
        <v>21217</v>
      </c>
      <c r="D588" t="str">
        <f>"0087 "</f>
        <v xml:space="preserve">0087 </v>
      </c>
      <c r="E588" t="str">
        <f>"017 "</f>
        <v xml:space="preserve">017 </v>
      </c>
      <c r="F588" t="s">
        <v>1160</v>
      </c>
      <c r="G588" s="1">
        <v>36000</v>
      </c>
      <c r="H588" t="s">
        <v>33</v>
      </c>
      <c r="I588" t="s">
        <v>15</v>
      </c>
      <c r="J588" s="1">
        <v>14358.76</v>
      </c>
    </row>
    <row r="589" spans="1:10" x14ac:dyDescent="0.25">
      <c r="A589" t="str">
        <f t="shared" si="42"/>
        <v>07/20/20</v>
      </c>
      <c r="B589" t="s">
        <v>1161</v>
      </c>
      <c r="C589" t="str">
        <f t="shared" si="43"/>
        <v>21217</v>
      </c>
      <c r="D589" t="str">
        <f>"0087 "</f>
        <v xml:space="preserve">0087 </v>
      </c>
      <c r="E589" t="str">
        <f>"003 "</f>
        <v xml:space="preserve">003 </v>
      </c>
      <c r="F589" t="s">
        <v>1162</v>
      </c>
      <c r="G589" s="1">
        <v>6000</v>
      </c>
      <c r="H589" t="s">
        <v>33</v>
      </c>
      <c r="I589" t="s">
        <v>34</v>
      </c>
      <c r="J589" s="1">
        <v>130980.54</v>
      </c>
    </row>
    <row r="590" spans="1:10" x14ac:dyDescent="0.25">
      <c r="A590" t="str">
        <f t="shared" si="42"/>
        <v>07/20/20</v>
      </c>
      <c r="B590" t="s">
        <v>1163</v>
      </c>
      <c r="C590" t="str">
        <f t="shared" si="43"/>
        <v>21217</v>
      </c>
      <c r="D590" t="str">
        <f>"0087 "</f>
        <v xml:space="preserve">0087 </v>
      </c>
      <c r="E590" t="str">
        <f>"002 "</f>
        <v xml:space="preserve">002 </v>
      </c>
      <c r="F590" t="s">
        <v>1164</v>
      </c>
      <c r="G590" s="1">
        <v>6000</v>
      </c>
      <c r="H590" t="s">
        <v>33</v>
      </c>
      <c r="I590" t="s">
        <v>34</v>
      </c>
      <c r="J590" s="1">
        <v>27602.43</v>
      </c>
    </row>
    <row r="591" spans="1:10" x14ac:dyDescent="0.25">
      <c r="A591" t="str">
        <f t="shared" si="42"/>
        <v>07/20/20</v>
      </c>
      <c r="B591" t="s">
        <v>1165</v>
      </c>
      <c r="C591" t="str">
        <f t="shared" si="43"/>
        <v>21217</v>
      </c>
      <c r="D591" t="str">
        <f>"0094 "</f>
        <v xml:space="preserve">0094 </v>
      </c>
      <c r="E591" t="str">
        <f>"085 "</f>
        <v xml:space="preserve">085 </v>
      </c>
      <c r="F591" t="s">
        <v>1166</v>
      </c>
      <c r="G591" s="1">
        <v>5000</v>
      </c>
      <c r="H591" t="s">
        <v>33</v>
      </c>
      <c r="I591" t="s">
        <v>34</v>
      </c>
      <c r="J591" s="1">
        <v>18114.61</v>
      </c>
    </row>
    <row r="592" spans="1:10" x14ac:dyDescent="0.25">
      <c r="A592" t="str">
        <f t="shared" si="42"/>
        <v>07/20/20</v>
      </c>
      <c r="B592" t="s">
        <v>1167</v>
      </c>
      <c r="C592" t="str">
        <f t="shared" si="43"/>
        <v>21217</v>
      </c>
      <c r="D592" t="str">
        <f>"0096 "</f>
        <v xml:space="preserve">0096 </v>
      </c>
      <c r="E592" t="str">
        <f>"044 "</f>
        <v xml:space="preserve">044 </v>
      </c>
      <c r="F592" t="s">
        <v>1168</v>
      </c>
      <c r="G592" s="1">
        <v>1000</v>
      </c>
      <c r="H592" t="s">
        <v>33</v>
      </c>
      <c r="I592" t="s">
        <v>15</v>
      </c>
      <c r="J592" s="1">
        <v>14930.38</v>
      </c>
    </row>
    <row r="593" spans="1:10" x14ac:dyDescent="0.25">
      <c r="A593" t="str">
        <f t="shared" si="42"/>
        <v>07/20/20</v>
      </c>
      <c r="B593" t="s">
        <v>1169</v>
      </c>
      <c r="C593" t="str">
        <f t="shared" si="43"/>
        <v>21217</v>
      </c>
      <c r="D593" t="str">
        <f>"0094 "</f>
        <v xml:space="preserve">0094 </v>
      </c>
      <c r="E593" t="str">
        <f>"080 "</f>
        <v xml:space="preserve">080 </v>
      </c>
      <c r="F593" t="s">
        <v>1170</v>
      </c>
      <c r="G593" s="1">
        <v>5000</v>
      </c>
      <c r="H593" t="s">
        <v>33</v>
      </c>
      <c r="I593" t="s">
        <v>34</v>
      </c>
      <c r="J593" s="1">
        <v>13384.43</v>
      </c>
    </row>
    <row r="594" spans="1:10" x14ac:dyDescent="0.25">
      <c r="A594" t="str">
        <f t="shared" si="42"/>
        <v>07/20/20</v>
      </c>
      <c r="B594" t="s">
        <v>1171</v>
      </c>
      <c r="C594" t="str">
        <f t="shared" si="43"/>
        <v>21217</v>
      </c>
      <c r="D594" t="str">
        <f>"0082 "</f>
        <v xml:space="preserve">0082 </v>
      </c>
      <c r="E594" t="str">
        <f>"013 "</f>
        <v xml:space="preserve">013 </v>
      </c>
      <c r="F594" t="s">
        <v>1172</v>
      </c>
      <c r="G594" s="1">
        <v>5000</v>
      </c>
      <c r="H594" t="s">
        <v>33</v>
      </c>
      <c r="I594" t="s">
        <v>34</v>
      </c>
      <c r="J594" s="1">
        <v>16847.97</v>
      </c>
    </row>
    <row r="595" spans="1:10" x14ac:dyDescent="0.25">
      <c r="A595" t="str">
        <f t="shared" si="42"/>
        <v>07/20/20</v>
      </c>
      <c r="B595" t="s">
        <v>1173</v>
      </c>
      <c r="C595" t="str">
        <f t="shared" si="43"/>
        <v>21217</v>
      </c>
      <c r="D595" t="str">
        <f>"0096 "</f>
        <v xml:space="preserve">0096 </v>
      </c>
      <c r="E595" t="str">
        <f>"027 "</f>
        <v xml:space="preserve">027 </v>
      </c>
      <c r="F595" t="s">
        <v>1174</v>
      </c>
      <c r="G595" s="1">
        <v>1000</v>
      </c>
      <c r="H595" t="s">
        <v>33</v>
      </c>
      <c r="I595" t="s">
        <v>15</v>
      </c>
      <c r="J595" s="1">
        <v>6428.96</v>
      </c>
    </row>
    <row r="596" spans="1:10" x14ac:dyDescent="0.25">
      <c r="A596" t="str">
        <f t="shared" si="42"/>
        <v>07/20/20</v>
      </c>
      <c r="B596" t="s">
        <v>1175</v>
      </c>
      <c r="C596" t="str">
        <f t="shared" si="43"/>
        <v>21217</v>
      </c>
      <c r="D596" t="str">
        <f>"0084 "</f>
        <v xml:space="preserve">0084 </v>
      </c>
      <c r="E596" t="str">
        <f>"058 "</f>
        <v xml:space="preserve">058 </v>
      </c>
      <c r="F596" t="s">
        <v>1176</v>
      </c>
      <c r="G596" s="1">
        <v>6000</v>
      </c>
      <c r="H596" t="s">
        <v>33</v>
      </c>
      <c r="I596" t="s">
        <v>34</v>
      </c>
      <c r="J596" s="1">
        <v>47298.64</v>
      </c>
    </row>
    <row r="597" spans="1:10" x14ac:dyDescent="0.25">
      <c r="A597" t="str">
        <f t="shared" si="42"/>
        <v>07/20/20</v>
      </c>
      <c r="B597" t="s">
        <v>1177</v>
      </c>
      <c r="C597" t="str">
        <f t="shared" si="43"/>
        <v>21217</v>
      </c>
      <c r="D597" t="str">
        <f>"0082 "</f>
        <v xml:space="preserve">0082 </v>
      </c>
      <c r="E597" t="str">
        <f>"016 "</f>
        <v xml:space="preserve">016 </v>
      </c>
      <c r="F597" t="s">
        <v>209</v>
      </c>
      <c r="G597" s="1">
        <v>5000</v>
      </c>
      <c r="H597" t="s">
        <v>33</v>
      </c>
      <c r="I597" t="s">
        <v>34</v>
      </c>
      <c r="J597" s="1">
        <v>10101.530000000001</v>
      </c>
    </row>
    <row r="598" spans="1:10" x14ac:dyDescent="0.25">
      <c r="A598" t="str">
        <f t="shared" si="42"/>
        <v>07/20/20</v>
      </c>
      <c r="B598" t="s">
        <v>1178</v>
      </c>
      <c r="C598" t="str">
        <f t="shared" si="43"/>
        <v>21217</v>
      </c>
      <c r="D598" t="str">
        <f>"0084 "</f>
        <v xml:space="preserve">0084 </v>
      </c>
      <c r="E598" t="str">
        <f>"060 "</f>
        <v xml:space="preserve">060 </v>
      </c>
      <c r="F598" t="s">
        <v>58</v>
      </c>
      <c r="G598" s="1">
        <v>1000</v>
      </c>
      <c r="H598" t="s">
        <v>33</v>
      </c>
      <c r="I598" t="s">
        <v>15</v>
      </c>
      <c r="J598" s="1">
        <v>24951.72</v>
      </c>
    </row>
    <row r="599" spans="1:10" x14ac:dyDescent="0.25">
      <c r="A599" t="str">
        <f t="shared" si="42"/>
        <v>07/20/20</v>
      </c>
      <c r="B599" t="s">
        <v>1179</v>
      </c>
      <c r="C599" t="str">
        <f t="shared" si="43"/>
        <v>21217</v>
      </c>
      <c r="D599" t="str">
        <f>"0083 "</f>
        <v xml:space="preserve">0083 </v>
      </c>
      <c r="E599" t="str">
        <f>"024 "</f>
        <v xml:space="preserve">024 </v>
      </c>
      <c r="F599" t="s">
        <v>1180</v>
      </c>
      <c r="G599" s="1">
        <v>5000</v>
      </c>
      <c r="H599" t="s">
        <v>33</v>
      </c>
      <c r="I599" t="s">
        <v>34</v>
      </c>
      <c r="J599" s="1">
        <v>29692.19</v>
      </c>
    </row>
    <row r="600" spans="1:10" x14ac:dyDescent="0.25">
      <c r="A600" t="str">
        <f t="shared" si="42"/>
        <v>07/20/20</v>
      </c>
      <c r="B600" t="s">
        <v>1181</v>
      </c>
      <c r="C600" t="str">
        <f t="shared" si="43"/>
        <v>21217</v>
      </c>
      <c r="D600" t="str">
        <f>"0083 "</f>
        <v xml:space="preserve">0083 </v>
      </c>
      <c r="E600" t="str">
        <f>"019 "</f>
        <v xml:space="preserve">019 </v>
      </c>
      <c r="F600" t="s">
        <v>1182</v>
      </c>
      <c r="G600" s="1">
        <v>15000</v>
      </c>
      <c r="H600" t="s">
        <v>33</v>
      </c>
      <c r="I600" t="s">
        <v>34</v>
      </c>
      <c r="J600" s="1">
        <v>13389.04</v>
      </c>
    </row>
    <row r="601" spans="1:10" x14ac:dyDescent="0.25">
      <c r="A601" t="str">
        <f t="shared" si="42"/>
        <v>07/20/20</v>
      </c>
      <c r="B601" t="s">
        <v>1183</v>
      </c>
      <c r="C601" t="str">
        <f t="shared" si="43"/>
        <v>21217</v>
      </c>
      <c r="D601" t="str">
        <f>"0083 "</f>
        <v xml:space="preserve">0083 </v>
      </c>
      <c r="E601" t="str">
        <f>"001 "</f>
        <v xml:space="preserve">001 </v>
      </c>
      <c r="F601" t="s">
        <v>1184</v>
      </c>
      <c r="G601" s="1">
        <v>1000</v>
      </c>
      <c r="H601" t="s">
        <v>33</v>
      </c>
      <c r="I601" t="s">
        <v>15</v>
      </c>
      <c r="J601" s="1">
        <v>84275.05</v>
      </c>
    </row>
    <row r="602" spans="1:10" x14ac:dyDescent="0.25">
      <c r="A602" t="str">
        <f t="shared" si="42"/>
        <v>07/20/20</v>
      </c>
      <c r="B602" t="s">
        <v>1185</v>
      </c>
      <c r="C602" t="str">
        <f t="shared" si="43"/>
        <v>21217</v>
      </c>
      <c r="D602" t="str">
        <f>"0087 "</f>
        <v xml:space="preserve">0087 </v>
      </c>
      <c r="E602" t="str">
        <f>"016 "</f>
        <v xml:space="preserve">016 </v>
      </c>
      <c r="F602" t="s">
        <v>1186</v>
      </c>
      <c r="G602" s="1">
        <v>6000</v>
      </c>
      <c r="H602" t="s">
        <v>33</v>
      </c>
      <c r="I602" t="s">
        <v>34</v>
      </c>
      <c r="J602" s="1">
        <v>74581.31</v>
      </c>
    </row>
    <row r="603" spans="1:10" x14ac:dyDescent="0.25">
      <c r="A603" t="str">
        <f t="shared" si="42"/>
        <v>07/20/20</v>
      </c>
      <c r="B603" t="s">
        <v>1187</v>
      </c>
      <c r="C603" t="str">
        <f t="shared" si="43"/>
        <v>21217</v>
      </c>
      <c r="D603" t="str">
        <f>"0092 "</f>
        <v xml:space="preserve">0092 </v>
      </c>
      <c r="E603" t="str">
        <f>"028A"</f>
        <v>028A</v>
      </c>
      <c r="F603" t="s">
        <v>1188</v>
      </c>
      <c r="G603" s="1">
        <v>11100</v>
      </c>
      <c r="H603" t="s">
        <v>33</v>
      </c>
      <c r="I603" t="s">
        <v>15</v>
      </c>
      <c r="J603" s="1">
        <v>8782.2099999999991</v>
      </c>
    </row>
    <row r="604" spans="1:10" x14ac:dyDescent="0.25">
      <c r="A604" t="str">
        <f t="shared" si="42"/>
        <v>07/20/20</v>
      </c>
      <c r="B604" t="s">
        <v>1189</v>
      </c>
      <c r="C604" t="str">
        <f t="shared" si="43"/>
        <v>21217</v>
      </c>
      <c r="D604" t="str">
        <f>"0086 "</f>
        <v xml:space="preserve">0086 </v>
      </c>
      <c r="E604" t="str">
        <f>"020 "</f>
        <v xml:space="preserve">020 </v>
      </c>
      <c r="F604" t="s">
        <v>1190</v>
      </c>
      <c r="G604" s="1">
        <v>1000</v>
      </c>
      <c r="H604" t="s">
        <v>33</v>
      </c>
      <c r="I604" t="s">
        <v>15</v>
      </c>
      <c r="J604" s="1">
        <v>121515.29</v>
      </c>
    </row>
    <row r="605" spans="1:10" x14ac:dyDescent="0.25">
      <c r="A605" t="str">
        <f t="shared" si="42"/>
        <v>07/20/20</v>
      </c>
      <c r="B605" t="s">
        <v>1191</v>
      </c>
      <c r="C605" t="str">
        <f t="shared" si="43"/>
        <v>21217</v>
      </c>
      <c r="D605" t="str">
        <f>"0086 "</f>
        <v xml:space="preserve">0086 </v>
      </c>
      <c r="E605" t="str">
        <f>"010 "</f>
        <v xml:space="preserve">010 </v>
      </c>
      <c r="F605" t="s">
        <v>1192</v>
      </c>
      <c r="G605" s="1">
        <v>1000</v>
      </c>
      <c r="H605" t="s">
        <v>33</v>
      </c>
      <c r="I605" t="s">
        <v>15</v>
      </c>
      <c r="J605" s="1">
        <v>9061.43</v>
      </c>
    </row>
    <row r="606" spans="1:10" x14ac:dyDescent="0.25">
      <c r="A606" t="str">
        <f t="shared" si="42"/>
        <v>07/20/20</v>
      </c>
      <c r="B606" t="s">
        <v>1193</v>
      </c>
      <c r="C606" t="str">
        <f t="shared" si="43"/>
        <v>21217</v>
      </c>
      <c r="D606" t="str">
        <f>"0083 "</f>
        <v xml:space="preserve">0083 </v>
      </c>
      <c r="E606" t="str">
        <f>"025 "</f>
        <v xml:space="preserve">025 </v>
      </c>
      <c r="F606" t="s">
        <v>1194</v>
      </c>
      <c r="G606" s="1">
        <v>5000</v>
      </c>
      <c r="H606" t="s">
        <v>33</v>
      </c>
      <c r="I606" t="s">
        <v>34</v>
      </c>
      <c r="J606" s="1">
        <v>16729.62</v>
      </c>
    </row>
    <row r="607" spans="1:10" x14ac:dyDescent="0.25">
      <c r="A607" t="str">
        <f t="shared" si="42"/>
        <v>07/20/20</v>
      </c>
      <c r="B607" t="s">
        <v>1195</v>
      </c>
      <c r="C607" t="str">
        <f t="shared" si="43"/>
        <v>21217</v>
      </c>
      <c r="D607" t="str">
        <f>"0094 "</f>
        <v xml:space="preserve">0094 </v>
      </c>
      <c r="E607" t="str">
        <f>"086 "</f>
        <v xml:space="preserve">086 </v>
      </c>
      <c r="F607" t="s">
        <v>1196</v>
      </c>
      <c r="G607" s="1">
        <v>15000</v>
      </c>
      <c r="H607" t="s">
        <v>33</v>
      </c>
      <c r="I607" t="s">
        <v>34</v>
      </c>
      <c r="J607" s="1">
        <v>42046.95</v>
      </c>
    </row>
    <row r="608" spans="1:10" x14ac:dyDescent="0.25">
      <c r="A608" t="str">
        <f t="shared" si="42"/>
        <v>07/20/20</v>
      </c>
      <c r="B608" t="s">
        <v>1197</v>
      </c>
      <c r="C608" t="str">
        <f t="shared" si="43"/>
        <v>21217</v>
      </c>
      <c r="D608" t="str">
        <f>"0087 "</f>
        <v xml:space="preserve">0087 </v>
      </c>
      <c r="E608" t="str">
        <f>"010 "</f>
        <v xml:space="preserve">010 </v>
      </c>
      <c r="F608" t="s">
        <v>1198</v>
      </c>
      <c r="G608" s="1">
        <v>1000</v>
      </c>
      <c r="H608" t="s">
        <v>33</v>
      </c>
      <c r="I608" t="s">
        <v>15</v>
      </c>
      <c r="J608" s="1">
        <v>115662.96</v>
      </c>
    </row>
    <row r="609" spans="1:10" x14ac:dyDescent="0.25">
      <c r="A609" t="str">
        <f t="shared" si="42"/>
        <v>07/20/20</v>
      </c>
      <c r="B609" t="s">
        <v>1199</v>
      </c>
      <c r="C609" t="str">
        <f t="shared" si="43"/>
        <v>21217</v>
      </c>
      <c r="D609" t="str">
        <f>"0082 "</f>
        <v xml:space="preserve">0082 </v>
      </c>
      <c r="E609" t="str">
        <f>"003 "</f>
        <v xml:space="preserve">003 </v>
      </c>
      <c r="F609" t="s">
        <v>1200</v>
      </c>
      <c r="G609" s="1">
        <v>1000</v>
      </c>
      <c r="H609" t="s">
        <v>33</v>
      </c>
      <c r="I609" t="s">
        <v>15</v>
      </c>
      <c r="J609" s="1">
        <v>109508.04</v>
      </c>
    </row>
    <row r="610" spans="1:10" x14ac:dyDescent="0.25">
      <c r="A610" t="str">
        <f t="shared" si="42"/>
        <v>07/20/20</v>
      </c>
      <c r="B610" t="s">
        <v>1201</v>
      </c>
      <c r="C610" t="str">
        <f>"21213"</f>
        <v>21213</v>
      </c>
      <c r="D610" t="str">
        <f>"1115 "</f>
        <v xml:space="preserve">1115 </v>
      </c>
      <c r="E610" t="str">
        <f>"008 "</f>
        <v xml:space="preserve">008 </v>
      </c>
      <c r="F610" t="s">
        <v>1202</v>
      </c>
      <c r="G610" s="1">
        <v>11000</v>
      </c>
      <c r="H610" t="s">
        <v>33</v>
      </c>
      <c r="I610" t="s">
        <v>34</v>
      </c>
      <c r="J610" s="1">
        <v>44862.35</v>
      </c>
    </row>
    <row r="611" spans="1:10" x14ac:dyDescent="0.25">
      <c r="A611" t="str">
        <f t="shared" si="42"/>
        <v>07/20/20</v>
      </c>
      <c r="B611" t="s">
        <v>1203</v>
      </c>
      <c r="C611" t="str">
        <f>"21213"</f>
        <v>21213</v>
      </c>
      <c r="D611" t="str">
        <f>"1108 "</f>
        <v xml:space="preserve">1108 </v>
      </c>
      <c r="E611" t="str">
        <f>"059 "</f>
        <v xml:space="preserve">059 </v>
      </c>
      <c r="F611" t="s">
        <v>1204</v>
      </c>
      <c r="G611" s="1">
        <v>19000</v>
      </c>
      <c r="H611" t="s">
        <v>33</v>
      </c>
      <c r="I611" t="s">
        <v>34</v>
      </c>
      <c r="J611" s="1">
        <v>5520.96</v>
      </c>
    </row>
    <row r="612" spans="1:10" x14ac:dyDescent="0.25">
      <c r="A612" t="str">
        <f t="shared" si="42"/>
        <v>07/20/20</v>
      </c>
      <c r="B612" t="s">
        <v>1205</v>
      </c>
      <c r="C612" t="str">
        <f>"21213"</f>
        <v>21213</v>
      </c>
      <c r="D612" t="str">
        <f>"1108 "</f>
        <v xml:space="preserve">1108 </v>
      </c>
      <c r="E612" t="str">
        <f>"058 "</f>
        <v xml:space="preserve">058 </v>
      </c>
      <c r="F612" t="s">
        <v>1206</v>
      </c>
      <c r="G612" s="1">
        <v>19000</v>
      </c>
      <c r="H612" t="s">
        <v>33</v>
      </c>
      <c r="I612" t="s">
        <v>34</v>
      </c>
      <c r="J612" s="1">
        <v>29235.33</v>
      </c>
    </row>
    <row r="613" spans="1:10" x14ac:dyDescent="0.25">
      <c r="A613" t="str">
        <f t="shared" si="42"/>
        <v>07/20/20</v>
      </c>
      <c r="B613" t="s">
        <v>1207</v>
      </c>
      <c r="C613" t="str">
        <f>"21213"</f>
        <v>21213</v>
      </c>
      <c r="D613" t="str">
        <f>"1118 "</f>
        <v xml:space="preserve">1118 </v>
      </c>
      <c r="E613" t="str">
        <f>"036 "</f>
        <v xml:space="preserve">036 </v>
      </c>
      <c r="F613" t="s">
        <v>1208</v>
      </c>
      <c r="G613" s="1">
        <v>30000</v>
      </c>
      <c r="H613" t="s">
        <v>33</v>
      </c>
      <c r="I613" t="s">
        <v>34</v>
      </c>
      <c r="J613" s="1">
        <v>94944.7</v>
      </c>
    </row>
    <row r="614" spans="1:10" x14ac:dyDescent="0.25">
      <c r="A614" t="str">
        <f t="shared" si="42"/>
        <v>07/20/20</v>
      </c>
      <c r="B614" t="s">
        <v>1209</v>
      </c>
      <c r="C614" t="str">
        <f>"21213"</f>
        <v>21213</v>
      </c>
      <c r="D614" t="str">
        <f>"1109 "</f>
        <v xml:space="preserve">1109 </v>
      </c>
      <c r="E614" t="str">
        <f>"035 "</f>
        <v xml:space="preserve">035 </v>
      </c>
      <c r="F614" t="s">
        <v>1210</v>
      </c>
      <c r="G614" s="1">
        <v>19000</v>
      </c>
      <c r="H614" t="s">
        <v>33</v>
      </c>
      <c r="I614" t="s">
        <v>34</v>
      </c>
      <c r="J614" s="1">
        <v>25317.82</v>
      </c>
    </row>
    <row r="615" spans="1:10" x14ac:dyDescent="0.25">
      <c r="A615" t="str">
        <f t="shared" si="42"/>
        <v>07/20/20</v>
      </c>
      <c r="B615" t="s">
        <v>1211</v>
      </c>
      <c r="C615" t="str">
        <f>"21217"</f>
        <v>21217</v>
      </c>
      <c r="D615" t="str">
        <f>"0338 "</f>
        <v xml:space="preserve">0338 </v>
      </c>
      <c r="E615" t="str">
        <f>"036 "</f>
        <v xml:space="preserve">036 </v>
      </c>
      <c r="F615" t="s">
        <v>1212</v>
      </c>
      <c r="G615" s="1">
        <v>70200</v>
      </c>
      <c r="H615" t="s">
        <v>33</v>
      </c>
      <c r="I615" t="s">
        <v>15</v>
      </c>
      <c r="J615" s="1">
        <v>17422.330000000002</v>
      </c>
    </row>
    <row r="616" spans="1:10" x14ac:dyDescent="0.25">
      <c r="A616" t="str">
        <f t="shared" si="42"/>
        <v>07/20/20</v>
      </c>
      <c r="B616" t="s">
        <v>1213</v>
      </c>
      <c r="C616" t="str">
        <f>"21217"</f>
        <v>21217</v>
      </c>
      <c r="D616" t="str">
        <f>"0042 "</f>
        <v xml:space="preserve">0042 </v>
      </c>
      <c r="E616" t="str">
        <f>"032 "</f>
        <v xml:space="preserve">032 </v>
      </c>
      <c r="F616" t="s">
        <v>1214</v>
      </c>
      <c r="G616" s="1">
        <v>16200</v>
      </c>
      <c r="H616" t="s">
        <v>33</v>
      </c>
      <c r="I616" t="s">
        <v>15</v>
      </c>
      <c r="J616" s="1">
        <v>35640.480000000003</v>
      </c>
    </row>
    <row r="617" spans="1:10" x14ac:dyDescent="0.25">
      <c r="A617" t="str">
        <f t="shared" si="42"/>
        <v>07/20/20</v>
      </c>
      <c r="B617" t="s">
        <v>1215</v>
      </c>
      <c r="C617" t="str">
        <f t="shared" ref="C617:C629" si="44">"21223"</f>
        <v>21223</v>
      </c>
      <c r="D617" t="str">
        <f>"0119 "</f>
        <v xml:space="preserve">0119 </v>
      </c>
      <c r="E617" t="str">
        <f>"085 "</f>
        <v xml:space="preserve">085 </v>
      </c>
      <c r="F617" t="s">
        <v>1216</v>
      </c>
      <c r="G617" s="1">
        <v>17000</v>
      </c>
      <c r="H617" t="s">
        <v>33</v>
      </c>
      <c r="I617" t="s">
        <v>15</v>
      </c>
      <c r="J617" s="1">
        <v>24886.67</v>
      </c>
    </row>
    <row r="618" spans="1:10" x14ac:dyDescent="0.25">
      <c r="A618" t="str">
        <f t="shared" si="42"/>
        <v>07/20/20</v>
      </c>
      <c r="B618" t="s">
        <v>1217</v>
      </c>
      <c r="C618" t="str">
        <f t="shared" si="44"/>
        <v>21223</v>
      </c>
      <c r="D618" t="str">
        <f>"0119 "</f>
        <v xml:space="preserve">0119 </v>
      </c>
      <c r="E618" t="str">
        <f>"064 "</f>
        <v xml:space="preserve">064 </v>
      </c>
      <c r="F618" t="s">
        <v>1218</v>
      </c>
      <c r="G618" s="1">
        <v>1000</v>
      </c>
      <c r="H618" t="s">
        <v>33</v>
      </c>
      <c r="I618" t="s">
        <v>15</v>
      </c>
      <c r="J618" s="1">
        <v>23538.14</v>
      </c>
    </row>
    <row r="619" spans="1:10" x14ac:dyDescent="0.25">
      <c r="A619" t="str">
        <f t="shared" si="42"/>
        <v>07/20/20</v>
      </c>
      <c r="B619" t="s">
        <v>1219</v>
      </c>
      <c r="C619" t="str">
        <f t="shared" si="44"/>
        <v>21223</v>
      </c>
      <c r="D619" t="str">
        <f>"0119 "</f>
        <v xml:space="preserve">0119 </v>
      </c>
      <c r="E619" t="str">
        <f>"088 "</f>
        <v xml:space="preserve">088 </v>
      </c>
      <c r="F619" t="s">
        <v>1220</v>
      </c>
      <c r="G619" s="1">
        <v>17000</v>
      </c>
      <c r="H619" t="s">
        <v>33</v>
      </c>
      <c r="I619" t="s">
        <v>15</v>
      </c>
      <c r="J619" s="1">
        <v>94690.94</v>
      </c>
    </row>
    <row r="620" spans="1:10" x14ac:dyDescent="0.25">
      <c r="A620" t="str">
        <f t="shared" si="42"/>
        <v>07/20/20</v>
      </c>
      <c r="B620" t="s">
        <v>1221</v>
      </c>
      <c r="C620" t="str">
        <f t="shared" si="44"/>
        <v>21223</v>
      </c>
      <c r="D620" t="str">
        <f>"0119 "</f>
        <v xml:space="preserve">0119 </v>
      </c>
      <c r="E620" t="str">
        <f>"063 "</f>
        <v xml:space="preserve">063 </v>
      </c>
      <c r="F620" t="s">
        <v>1222</v>
      </c>
      <c r="G620" s="1">
        <v>1000</v>
      </c>
      <c r="H620" t="s">
        <v>33</v>
      </c>
      <c r="I620" t="s">
        <v>15</v>
      </c>
      <c r="J620" s="1">
        <v>31824.65</v>
      </c>
    </row>
    <row r="621" spans="1:10" x14ac:dyDescent="0.25">
      <c r="A621" t="str">
        <f t="shared" si="42"/>
        <v>07/20/20</v>
      </c>
      <c r="B621" t="s">
        <v>1223</v>
      </c>
      <c r="C621" t="str">
        <f t="shared" si="44"/>
        <v>21223</v>
      </c>
      <c r="D621" t="str">
        <f>"0120 "</f>
        <v xml:space="preserve">0120 </v>
      </c>
      <c r="E621" t="str">
        <f>"098 "</f>
        <v xml:space="preserve">098 </v>
      </c>
      <c r="F621" t="s">
        <v>1224</v>
      </c>
      <c r="G621" s="1">
        <v>7000</v>
      </c>
      <c r="H621" t="s">
        <v>33</v>
      </c>
      <c r="I621" t="s">
        <v>15</v>
      </c>
      <c r="J621" s="1">
        <v>114591.67</v>
      </c>
    </row>
    <row r="622" spans="1:10" x14ac:dyDescent="0.25">
      <c r="A622" t="str">
        <f t="shared" si="42"/>
        <v>07/20/20</v>
      </c>
      <c r="B622" t="s">
        <v>1225</v>
      </c>
      <c r="C622" t="str">
        <f t="shared" si="44"/>
        <v>21223</v>
      </c>
      <c r="D622" t="str">
        <f>"0120 "</f>
        <v xml:space="preserve">0120 </v>
      </c>
      <c r="E622" t="str">
        <f>"097 "</f>
        <v xml:space="preserve">097 </v>
      </c>
      <c r="F622" t="s">
        <v>1224</v>
      </c>
      <c r="G622" s="1">
        <v>7000</v>
      </c>
      <c r="H622" t="s">
        <v>33</v>
      </c>
      <c r="I622" t="s">
        <v>15</v>
      </c>
      <c r="J622" s="1">
        <v>75248.67</v>
      </c>
    </row>
    <row r="623" spans="1:10" x14ac:dyDescent="0.25">
      <c r="A623" t="str">
        <f t="shared" si="42"/>
        <v>07/20/20</v>
      </c>
      <c r="B623" t="s">
        <v>1226</v>
      </c>
      <c r="C623" t="str">
        <f t="shared" si="44"/>
        <v>21223</v>
      </c>
      <c r="D623" t="str">
        <f>"0120 "</f>
        <v xml:space="preserve">0120 </v>
      </c>
      <c r="E623" t="str">
        <f>"096 "</f>
        <v xml:space="preserve">096 </v>
      </c>
      <c r="F623" t="s">
        <v>1227</v>
      </c>
      <c r="G623" s="1">
        <v>7000</v>
      </c>
      <c r="H623" t="s">
        <v>33</v>
      </c>
      <c r="I623" t="s">
        <v>15</v>
      </c>
      <c r="J623" s="1">
        <v>102295.03999999999</v>
      </c>
    </row>
    <row r="624" spans="1:10" x14ac:dyDescent="0.25">
      <c r="A624" t="str">
        <f t="shared" si="42"/>
        <v>07/20/20</v>
      </c>
      <c r="B624" t="s">
        <v>1228</v>
      </c>
      <c r="C624" t="str">
        <f t="shared" si="44"/>
        <v>21223</v>
      </c>
      <c r="D624" t="str">
        <f>"0119 "</f>
        <v xml:space="preserve">0119 </v>
      </c>
      <c r="E624" t="str">
        <f>"059 "</f>
        <v xml:space="preserve">059 </v>
      </c>
      <c r="F624" t="s">
        <v>1229</v>
      </c>
      <c r="G624" s="1">
        <v>1000</v>
      </c>
      <c r="H624" t="s">
        <v>33</v>
      </c>
      <c r="I624" t="s">
        <v>15</v>
      </c>
      <c r="J624" s="1">
        <v>114503</v>
      </c>
    </row>
    <row r="625" spans="1:10" x14ac:dyDescent="0.25">
      <c r="A625" t="str">
        <f t="shared" si="42"/>
        <v>07/20/20</v>
      </c>
      <c r="B625" t="s">
        <v>1230</v>
      </c>
      <c r="C625" t="str">
        <f t="shared" si="44"/>
        <v>21223</v>
      </c>
      <c r="D625" t="str">
        <f>"0119 "</f>
        <v xml:space="preserve">0119 </v>
      </c>
      <c r="E625" t="str">
        <f>"054 "</f>
        <v xml:space="preserve">054 </v>
      </c>
      <c r="F625" t="s">
        <v>1231</v>
      </c>
      <c r="G625" s="1">
        <v>17000</v>
      </c>
      <c r="H625" t="s">
        <v>33</v>
      </c>
      <c r="I625" t="s">
        <v>15</v>
      </c>
      <c r="J625" s="1">
        <v>5717.07</v>
      </c>
    </row>
    <row r="626" spans="1:10" x14ac:dyDescent="0.25">
      <c r="A626" t="str">
        <f t="shared" si="42"/>
        <v>07/20/20</v>
      </c>
      <c r="B626" t="s">
        <v>1232</v>
      </c>
      <c r="C626" t="str">
        <f t="shared" si="44"/>
        <v>21223</v>
      </c>
      <c r="D626" t="str">
        <f>"2205 "</f>
        <v xml:space="preserve">2205 </v>
      </c>
      <c r="E626" t="str">
        <f>"035 "</f>
        <v xml:space="preserve">035 </v>
      </c>
      <c r="F626" t="s">
        <v>1233</v>
      </c>
      <c r="G626" s="1">
        <v>10800</v>
      </c>
      <c r="H626" t="s">
        <v>30</v>
      </c>
      <c r="I626" t="s">
        <v>34</v>
      </c>
      <c r="J626" s="1">
        <v>5270.46</v>
      </c>
    </row>
    <row r="627" spans="1:10" x14ac:dyDescent="0.25">
      <c r="A627" t="str">
        <f t="shared" si="42"/>
        <v>07/20/20</v>
      </c>
      <c r="B627" t="s">
        <v>1234</v>
      </c>
      <c r="C627" t="str">
        <f t="shared" si="44"/>
        <v>21223</v>
      </c>
      <c r="D627" t="str">
        <f>"2201 "</f>
        <v xml:space="preserve">2201 </v>
      </c>
      <c r="E627" t="str">
        <f>"030 "</f>
        <v xml:space="preserve">030 </v>
      </c>
      <c r="F627" t="s">
        <v>1235</v>
      </c>
      <c r="G627" s="1">
        <v>29500</v>
      </c>
      <c r="H627" t="s">
        <v>30</v>
      </c>
      <c r="I627" t="s">
        <v>15</v>
      </c>
      <c r="J627" s="1">
        <v>50339.66</v>
      </c>
    </row>
    <row r="628" spans="1:10" x14ac:dyDescent="0.25">
      <c r="A628" t="str">
        <f t="shared" si="42"/>
        <v>07/20/20</v>
      </c>
      <c r="B628" t="s">
        <v>1236</v>
      </c>
      <c r="C628" t="str">
        <f t="shared" si="44"/>
        <v>21223</v>
      </c>
      <c r="D628" t="str">
        <f>"2213A"</f>
        <v>2213A</v>
      </c>
      <c r="E628" t="str">
        <f>"048 "</f>
        <v xml:space="preserve">048 </v>
      </c>
      <c r="F628" t="s">
        <v>1237</v>
      </c>
      <c r="G628" s="1">
        <v>39900</v>
      </c>
      <c r="H628" t="s">
        <v>30</v>
      </c>
      <c r="I628" t="s">
        <v>34</v>
      </c>
      <c r="J628" s="1">
        <v>16635.53</v>
      </c>
    </row>
    <row r="629" spans="1:10" x14ac:dyDescent="0.25">
      <c r="A629" t="str">
        <f t="shared" si="42"/>
        <v>07/20/20</v>
      </c>
      <c r="B629" t="s">
        <v>1238</v>
      </c>
      <c r="C629" t="str">
        <f t="shared" si="44"/>
        <v>21223</v>
      </c>
      <c r="D629" t="str">
        <f>"2217 "</f>
        <v xml:space="preserve">2217 </v>
      </c>
      <c r="E629" t="str">
        <f>"015 "</f>
        <v xml:space="preserve">015 </v>
      </c>
      <c r="F629" t="s">
        <v>489</v>
      </c>
      <c r="G629" s="1">
        <v>11600</v>
      </c>
      <c r="H629" t="s">
        <v>161</v>
      </c>
      <c r="I629" t="s">
        <v>15</v>
      </c>
      <c r="J629" s="1">
        <v>5654.78</v>
      </c>
    </row>
    <row r="630" spans="1:10" x14ac:dyDescent="0.25">
      <c r="A630" t="str">
        <f t="shared" si="42"/>
        <v>07/20/20</v>
      </c>
      <c r="B630" t="s">
        <v>1239</v>
      </c>
      <c r="C630" t="str">
        <f>"21229"</f>
        <v>21229</v>
      </c>
      <c r="D630" t="str">
        <f>"2199D"</f>
        <v>2199D</v>
      </c>
      <c r="E630" t="str">
        <f>"022 "</f>
        <v xml:space="preserve">022 </v>
      </c>
      <c r="F630" t="s">
        <v>1240</v>
      </c>
      <c r="G630" s="1">
        <v>57500</v>
      </c>
      <c r="H630" t="s">
        <v>14</v>
      </c>
      <c r="I630" t="s">
        <v>34</v>
      </c>
      <c r="J630" s="1">
        <v>26782.75</v>
      </c>
    </row>
    <row r="631" spans="1:10" x14ac:dyDescent="0.25">
      <c r="A631" t="str">
        <f t="shared" si="42"/>
        <v>07/20/20</v>
      </c>
      <c r="B631" t="s">
        <v>1241</v>
      </c>
      <c r="C631" t="str">
        <f t="shared" ref="C631:C638" si="45">"21223"</f>
        <v>21223</v>
      </c>
      <c r="D631" t="str">
        <f>"2140 "</f>
        <v xml:space="preserve">2140 </v>
      </c>
      <c r="E631" t="str">
        <f>"060 "</f>
        <v xml:space="preserve">060 </v>
      </c>
      <c r="F631" t="s">
        <v>1242</v>
      </c>
      <c r="G631" s="1">
        <v>5000</v>
      </c>
      <c r="H631" t="s">
        <v>33</v>
      </c>
      <c r="I631" t="s">
        <v>34</v>
      </c>
      <c r="J631" s="1">
        <v>90949.43</v>
      </c>
    </row>
    <row r="632" spans="1:10" x14ac:dyDescent="0.25">
      <c r="A632" t="str">
        <f t="shared" si="42"/>
        <v>07/20/20</v>
      </c>
      <c r="B632" t="s">
        <v>1243</v>
      </c>
      <c r="C632" t="str">
        <f t="shared" si="45"/>
        <v>21223</v>
      </c>
      <c r="D632" t="str">
        <f>"0243 "</f>
        <v xml:space="preserve">0243 </v>
      </c>
      <c r="E632" t="str">
        <f>"083 "</f>
        <v xml:space="preserve">083 </v>
      </c>
      <c r="F632" t="s">
        <v>1244</v>
      </c>
      <c r="G632" s="1">
        <v>6000</v>
      </c>
      <c r="H632" t="s">
        <v>33</v>
      </c>
      <c r="I632" t="s">
        <v>34</v>
      </c>
      <c r="J632" s="1">
        <v>4717.71</v>
      </c>
    </row>
    <row r="633" spans="1:10" x14ac:dyDescent="0.25">
      <c r="A633" t="str">
        <f t="shared" si="42"/>
        <v>07/20/20</v>
      </c>
      <c r="B633" t="s">
        <v>1245</v>
      </c>
      <c r="C633" t="str">
        <f t="shared" si="45"/>
        <v>21223</v>
      </c>
      <c r="D633" t="str">
        <f>"0243 "</f>
        <v xml:space="preserve">0243 </v>
      </c>
      <c r="E633" t="str">
        <f>"082 "</f>
        <v xml:space="preserve">082 </v>
      </c>
      <c r="F633" t="s">
        <v>1246</v>
      </c>
      <c r="G633" s="1">
        <v>6000</v>
      </c>
      <c r="H633" t="s">
        <v>33</v>
      </c>
      <c r="I633" t="s">
        <v>34</v>
      </c>
      <c r="J633" s="1">
        <v>1619.91</v>
      </c>
    </row>
    <row r="634" spans="1:10" x14ac:dyDescent="0.25">
      <c r="A634" t="str">
        <f t="shared" si="42"/>
        <v>07/20/20</v>
      </c>
      <c r="B634" t="s">
        <v>1247</v>
      </c>
      <c r="C634" t="str">
        <f t="shared" si="45"/>
        <v>21223</v>
      </c>
      <c r="D634" t="str">
        <f>"0242 "</f>
        <v xml:space="preserve">0242 </v>
      </c>
      <c r="E634" t="str">
        <f>"083 "</f>
        <v xml:space="preserve">083 </v>
      </c>
      <c r="F634" t="s">
        <v>1248</v>
      </c>
      <c r="G634" s="1">
        <v>6000</v>
      </c>
      <c r="H634" t="s">
        <v>33</v>
      </c>
      <c r="I634" t="s">
        <v>34</v>
      </c>
      <c r="J634" s="1">
        <v>372.07</v>
      </c>
    </row>
    <row r="635" spans="1:10" x14ac:dyDescent="0.25">
      <c r="A635" t="str">
        <f t="shared" si="42"/>
        <v>07/20/20</v>
      </c>
      <c r="B635" t="s">
        <v>1249</v>
      </c>
      <c r="C635" t="str">
        <f t="shared" si="45"/>
        <v>21223</v>
      </c>
      <c r="D635" t="str">
        <f>"0178 "</f>
        <v xml:space="preserve">0178 </v>
      </c>
      <c r="E635" t="str">
        <f>"018 "</f>
        <v xml:space="preserve">018 </v>
      </c>
      <c r="F635" t="s">
        <v>1250</v>
      </c>
      <c r="G635" s="1">
        <v>1000</v>
      </c>
      <c r="H635" t="s">
        <v>33</v>
      </c>
      <c r="I635" t="s">
        <v>15</v>
      </c>
      <c r="J635" s="1">
        <v>149251.4</v>
      </c>
    </row>
    <row r="636" spans="1:10" x14ac:dyDescent="0.25">
      <c r="A636" t="str">
        <f t="shared" si="42"/>
        <v>07/20/20</v>
      </c>
      <c r="B636" t="s">
        <v>1251</v>
      </c>
      <c r="C636" t="str">
        <f t="shared" si="45"/>
        <v>21223</v>
      </c>
      <c r="D636" t="str">
        <f>"0175 "</f>
        <v xml:space="preserve">0175 </v>
      </c>
      <c r="E636" t="str">
        <f>"022 "</f>
        <v xml:space="preserve">022 </v>
      </c>
      <c r="F636" t="s">
        <v>1252</v>
      </c>
      <c r="G636" s="1">
        <v>3000</v>
      </c>
      <c r="H636" t="s">
        <v>33</v>
      </c>
      <c r="I636" t="s">
        <v>34</v>
      </c>
      <c r="J636" s="1">
        <v>393.14</v>
      </c>
    </row>
    <row r="637" spans="1:10" x14ac:dyDescent="0.25">
      <c r="A637" t="str">
        <f t="shared" si="42"/>
        <v>07/20/20</v>
      </c>
      <c r="B637" t="s">
        <v>1253</v>
      </c>
      <c r="C637" t="str">
        <f t="shared" si="45"/>
        <v>21223</v>
      </c>
      <c r="D637" t="str">
        <f>"0166 "</f>
        <v xml:space="preserve">0166 </v>
      </c>
      <c r="E637" t="str">
        <f>"069 "</f>
        <v xml:space="preserve">069 </v>
      </c>
      <c r="F637" t="s">
        <v>1254</v>
      </c>
      <c r="G637" s="1">
        <v>1000</v>
      </c>
      <c r="H637" t="s">
        <v>33</v>
      </c>
      <c r="I637" t="s">
        <v>15</v>
      </c>
      <c r="J637" s="1">
        <v>67411.53</v>
      </c>
    </row>
    <row r="638" spans="1:10" x14ac:dyDescent="0.25">
      <c r="A638" t="str">
        <f t="shared" si="42"/>
        <v>07/20/20</v>
      </c>
      <c r="B638" t="s">
        <v>1255</v>
      </c>
      <c r="C638" t="str">
        <f t="shared" si="45"/>
        <v>21223</v>
      </c>
      <c r="D638" t="str">
        <f>"0161 "</f>
        <v xml:space="preserve">0161 </v>
      </c>
      <c r="E638" t="str">
        <f>"020 "</f>
        <v xml:space="preserve">020 </v>
      </c>
      <c r="F638" t="s">
        <v>1256</v>
      </c>
      <c r="G638" s="1">
        <v>1000</v>
      </c>
      <c r="H638" t="s">
        <v>30</v>
      </c>
      <c r="I638" t="s">
        <v>15</v>
      </c>
      <c r="J638" s="1">
        <v>25467.86</v>
      </c>
    </row>
    <row r="639" spans="1:10" x14ac:dyDescent="0.25">
      <c r="A639" t="str">
        <f t="shared" si="42"/>
        <v>07/20/20</v>
      </c>
      <c r="B639" t="s">
        <v>1257</v>
      </c>
      <c r="C639" t="str">
        <f>"21215"</f>
        <v>21215</v>
      </c>
      <c r="D639" t="str">
        <f>"4543A"</f>
        <v>4543A</v>
      </c>
      <c r="E639" t="str">
        <f>"009 "</f>
        <v xml:space="preserve">009 </v>
      </c>
      <c r="F639" t="s">
        <v>1258</v>
      </c>
      <c r="G639" s="1">
        <v>21000</v>
      </c>
      <c r="H639" t="s">
        <v>14</v>
      </c>
      <c r="I639" t="s">
        <v>34</v>
      </c>
      <c r="J639" s="1">
        <v>7273.7</v>
      </c>
    </row>
    <row r="640" spans="1:10" x14ac:dyDescent="0.25">
      <c r="A640" t="str">
        <f t="shared" si="42"/>
        <v>07/20/20</v>
      </c>
      <c r="B640" t="s">
        <v>1259</v>
      </c>
      <c r="C640" t="str">
        <f>"21229"</f>
        <v>21229</v>
      </c>
      <c r="D640" t="str">
        <f>"2504 "</f>
        <v xml:space="preserve">2504 </v>
      </c>
      <c r="E640" t="str">
        <f>"035 "</f>
        <v xml:space="preserve">035 </v>
      </c>
      <c r="F640" t="s">
        <v>1260</v>
      </c>
      <c r="G640" s="1">
        <v>19600</v>
      </c>
      <c r="H640" t="s">
        <v>30</v>
      </c>
      <c r="I640" t="s">
        <v>34</v>
      </c>
      <c r="J640" s="1">
        <v>7778.94</v>
      </c>
    </row>
    <row r="641" spans="1:10" x14ac:dyDescent="0.25">
      <c r="A641" t="str">
        <f t="shared" si="42"/>
        <v>07/20/20</v>
      </c>
      <c r="B641" t="s">
        <v>1261</v>
      </c>
      <c r="C641" t="str">
        <f t="shared" ref="C641:C647" si="46">"21223"</f>
        <v>21223</v>
      </c>
      <c r="D641" t="str">
        <f>"2132 "</f>
        <v xml:space="preserve">2132 </v>
      </c>
      <c r="E641" t="str">
        <f>"027 "</f>
        <v xml:space="preserve">027 </v>
      </c>
      <c r="F641" t="s">
        <v>1262</v>
      </c>
      <c r="G641" s="1">
        <v>49600</v>
      </c>
      <c r="H641" t="s">
        <v>30</v>
      </c>
      <c r="I641" t="s">
        <v>15</v>
      </c>
      <c r="J641" s="1">
        <v>23395.43</v>
      </c>
    </row>
    <row r="642" spans="1:10" x14ac:dyDescent="0.25">
      <c r="A642" t="str">
        <f t="shared" si="42"/>
        <v>07/20/20</v>
      </c>
      <c r="B642" t="s">
        <v>1263</v>
      </c>
      <c r="C642" t="str">
        <f t="shared" si="46"/>
        <v>21223</v>
      </c>
      <c r="D642" t="str">
        <f>"2176 "</f>
        <v xml:space="preserve">2176 </v>
      </c>
      <c r="E642" t="str">
        <f>"034 "</f>
        <v xml:space="preserve">034 </v>
      </c>
      <c r="F642" t="s">
        <v>1264</v>
      </c>
      <c r="G642" s="1">
        <v>6000</v>
      </c>
      <c r="H642" t="s">
        <v>33</v>
      </c>
      <c r="I642" t="s">
        <v>15</v>
      </c>
      <c r="J642" s="1">
        <v>20368.27</v>
      </c>
    </row>
    <row r="643" spans="1:10" x14ac:dyDescent="0.25">
      <c r="A643" t="str">
        <f t="shared" ref="A643:A706" si="47">"07/20/20"</f>
        <v>07/20/20</v>
      </c>
      <c r="B643" t="s">
        <v>1265</v>
      </c>
      <c r="C643" t="str">
        <f t="shared" si="46"/>
        <v>21223</v>
      </c>
      <c r="D643" t="str">
        <f>"0242 "</f>
        <v xml:space="preserve">0242 </v>
      </c>
      <c r="E643" t="str">
        <f>"061 "</f>
        <v xml:space="preserve">061 </v>
      </c>
      <c r="F643" t="s">
        <v>1266</v>
      </c>
      <c r="G643" s="1">
        <v>6000</v>
      </c>
      <c r="H643" t="s">
        <v>33</v>
      </c>
      <c r="I643" t="s">
        <v>34</v>
      </c>
      <c r="J643" s="1">
        <v>8735.1200000000008</v>
      </c>
    </row>
    <row r="644" spans="1:10" x14ac:dyDescent="0.25">
      <c r="A644" t="str">
        <f t="shared" si="47"/>
        <v>07/20/20</v>
      </c>
      <c r="B644" t="s">
        <v>1267</v>
      </c>
      <c r="C644" t="str">
        <f t="shared" si="46"/>
        <v>21223</v>
      </c>
      <c r="D644" t="str">
        <f>"0242 "</f>
        <v xml:space="preserve">0242 </v>
      </c>
      <c r="E644" t="str">
        <f>"058 "</f>
        <v xml:space="preserve">058 </v>
      </c>
      <c r="F644" t="s">
        <v>1268</v>
      </c>
      <c r="G644" s="1">
        <v>6000</v>
      </c>
      <c r="H644" t="s">
        <v>33</v>
      </c>
      <c r="I644" t="s">
        <v>34</v>
      </c>
      <c r="J644" s="1">
        <v>509.8</v>
      </c>
    </row>
    <row r="645" spans="1:10" x14ac:dyDescent="0.25">
      <c r="A645" t="str">
        <f t="shared" si="47"/>
        <v>07/20/20</v>
      </c>
      <c r="B645" t="s">
        <v>1269</v>
      </c>
      <c r="C645" t="str">
        <f t="shared" si="46"/>
        <v>21223</v>
      </c>
      <c r="D645" t="str">
        <f>"0242 "</f>
        <v xml:space="preserve">0242 </v>
      </c>
      <c r="E645" t="str">
        <f>"057 "</f>
        <v xml:space="preserve">057 </v>
      </c>
      <c r="F645" t="s">
        <v>1270</v>
      </c>
      <c r="G645" s="1">
        <v>15000</v>
      </c>
      <c r="H645" t="s">
        <v>33</v>
      </c>
      <c r="I645" t="s">
        <v>34</v>
      </c>
      <c r="J645" s="1">
        <v>18622.810000000001</v>
      </c>
    </row>
    <row r="646" spans="1:10" x14ac:dyDescent="0.25">
      <c r="A646" t="str">
        <f t="shared" si="47"/>
        <v>07/20/20</v>
      </c>
      <c r="B646" t="s">
        <v>1271</v>
      </c>
      <c r="C646" t="str">
        <f t="shared" si="46"/>
        <v>21223</v>
      </c>
      <c r="D646" t="str">
        <f>"0232 "</f>
        <v xml:space="preserve">0232 </v>
      </c>
      <c r="E646" t="str">
        <f>"041 "</f>
        <v xml:space="preserve">041 </v>
      </c>
      <c r="F646" t="s">
        <v>1272</v>
      </c>
      <c r="G646" s="1">
        <v>50000</v>
      </c>
      <c r="H646" t="s">
        <v>33</v>
      </c>
      <c r="I646" t="s">
        <v>15</v>
      </c>
      <c r="J646" s="1">
        <v>3333.1</v>
      </c>
    </row>
    <row r="647" spans="1:10" x14ac:dyDescent="0.25">
      <c r="A647" t="str">
        <f t="shared" si="47"/>
        <v>07/20/20</v>
      </c>
      <c r="B647" t="s">
        <v>1273</v>
      </c>
      <c r="C647" t="str">
        <f t="shared" si="46"/>
        <v>21223</v>
      </c>
      <c r="D647" t="str">
        <f>"2216 "</f>
        <v xml:space="preserve">2216 </v>
      </c>
      <c r="E647" t="str">
        <f>"052 "</f>
        <v xml:space="preserve">052 </v>
      </c>
      <c r="F647" t="s">
        <v>1274</v>
      </c>
      <c r="G647" s="1">
        <v>11700</v>
      </c>
      <c r="H647" t="s">
        <v>30</v>
      </c>
      <c r="I647" t="s">
        <v>34</v>
      </c>
      <c r="J647" s="1">
        <v>724.97</v>
      </c>
    </row>
    <row r="648" spans="1:10" x14ac:dyDescent="0.25">
      <c r="A648" t="str">
        <f t="shared" si="47"/>
        <v>07/20/20</v>
      </c>
      <c r="B648" t="s">
        <v>1275</v>
      </c>
      <c r="C648" t="str">
        <f t="shared" ref="C648:C653" si="48">"21216"</f>
        <v>21216</v>
      </c>
      <c r="D648" t="str">
        <f>"2482B"</f>
        <v>2482B</v>
      </c>
      <c r="E648" t="str">
        <f>"026 "</f>
        <v xml:space="preserve">026 </v>
      </c>
      <c r="F648" t="s">
        <v>1276</v>
      </c>
      <c r="G648" s="1">
        <v>1000</v>
      </c>
      <c r="H648" t="s">
        <v>14</v>
      </c>
      <c r="I648" t="s">
        <v>15</v>
      </c>
      <c r="J648" s="1">
        <v>139430.32</v>
      </c>
    </row>
    <row r="649" spans="1:10" x14ac:dyDescent="0.25">
      <c r="A649" t="str">
        <f t="shared" si="47"/>
        <v>07/20/20</v>
      </c>
      <c r="B649" t="s">
        <v>1277</v>
      </c>
      <c r="C649" t="str">
        <f t="shared" si="48"/>
        <v>21216</v>
      </c>
      <c r="D649" t="str">
        <f>"2448 "</f>
        <v xml:space="preserve">2448 </v>
      </c>
      <c r="E649" t="str">
        <f>"015 "</f>
        <v xml:space="preserve">015 </v>
      </c>
      <c r="F649" t="s">
        <v>1278</v>
      </c>
      <c r="G649" s="1">
        <v>17000</v>
      </c>
      <c r="H649" t="s">
        <v>14</v>
      </c>
      <c r="I649" t="s">
        <v>34</v>
      </c>
      <c r="J649" s="1">
        <v>20414.310000000001</v>
      </c>
    </row>
    <row r="650" spans="1:10" x14ac:dyDescent="0.25">
      <c r="A650" t="str">
        <f t="shared" si="47"/>
        <v>07/20/20</v>
      </c>
      <c r="B650" t="s">
        <v>1279</v>
      </c>
      <c r="C650" t="str">
        <f t="shared" si="48"/>
        <v>21216</v>
      </c>
      <c r="D650" t="str">
        <f>"2332D"</f>
        <v>2332D</v>
      </c>
      <c r="E650" t="str">
        <f>"030 "</f>
        <v xml:space="preserve">030 </v>
      </c>
      <c r="F650" t="s">
        <v>1280</v>
      </c>
      <c r="G650" s="1">
        <v>6000</v>
      </c>
      <c r="H650" t="s">
        <v>14</v>
      </c>
      <c r="I650" t="s">
        <v>34</v>
      </c>
      <c r="J650" s="1">
        <v>10352.959999999999</v>
      </c>
    </row>
    <row r="651" spans="1:10" x14ac:dyDescent="0.25">
      <c r="A651" t="str">
        <f t="shared" si="47"/>
        <v>07/20/20</v>
      </c>
      <c r="B651" t="s">
        <v>1281</v>
      </c>
      <c r="C651" t="str">
        <f t="shared" si="48"/>
        <v>21216</v>
      </c>
      <c r="D651" t="str">
        <f>"2419 "</f>
        <v xml:space="preserve">2419 </v>
      </c>
      <c r="E651" t="str">
        <f>"035 "</f>
        <v xml:space="preserve">035 </v>
      </c>
      <c r="F651" t="s">
        <v>1282</v>
      </c>
      <c r="G651" s="1">
        <v>7000</v>
      </c>
      <c r="H651" t="s">
        <v>14</v>
      </c>
      <c r="I651" t="s">
        <v>34</v>
      </c>
      <c r="J651" s="1">
        <v>494.3</v>
      </c>
    </row>
    <row r="652" spans="1:10" x14ac:dyDescent="0.25">
      <c r="A652" t="str">
        <f t="shared" si="47"/>
        <v>07/20/20</v>
      </c>
      <c r="B652" t="s">
        <v>1283</v>
      </c>
      <c r="C652" t="str">
        <f t="shared" si="48"/>
        <v>21216</v>
      </c>
      <c r="D652" t="str">
        <f>"2419 "</f>
        <v xml:space="preserve">2419 </v>
      </c>
      <c r="E652" t="str">
        <f>"034 "</f>
        <v xml:space="preserve">034 </v>
      </c>
      <c r="F652" t="s">
        <v>1284</v>
      </c>
      <c r="G652" s="1">
        <v>7000</v>
      </c>
      <c r="H652" t="s">
        <v>14</v>
      </c>
      <c r="I652" t="s">
        <v>34</v>
      </c>
      <c r="J652" s="1">
        <v>13032.32</v>
      </c>
    </row>
    <row r="653" spans="1:10" x14ac:dyDescent="0.25">
      <c r="A653" t="str">
        <f t="shared" si="47"/>
        <v>07/20/20</v>
      </c>
      <c r="B653" t="s">
        <v>1285</v>
      </c>
      <c r="C653" t="str">
        <f t="shared" si="48"/>
        <v>21216</v>
      </c>
      <c r="D653" t="str">
        <f>"2443A"</f>
        <v>2443A</v>
      </c>
      <c r="E653" t="str">
        <f>"043 "</f>
        <v xml:space="preserve">043 </v>
      </c>
      <c r="F653" t="s">
        <v>1286</v>
      </c>
      <c r="G653" s="1">
        <v>11000</v>
      </c>
      <c r="H653" t="s">
        <v>14</v>
      </c>
      <c r="I653" t="s">
        <v>34</v>
      </c>
      <c r="J653" s="1">
        <v>9954.41</v>
      </c>
    </row>
    <row r="654" spans="1:10" x14ac:dyDescent="0.25">
      <c r="A654" t="str">
        <f t="shared" si="47"/>
        <v>07/20/20</v>
      </c>
      <c r="B654" t="s">
        <v>1287</v>
      </c>
      <c r="C654" t="str">
        <f>"21217"</f>
        <v>21217</v>
      </c>
      <c r="D654" t="str">
        <f>"0031 "</f>
        <v xml:space="preserve">0031 </v>
      </c>
      <c r="E654" t="str">
        <f>"037 "</f>
        <v xml:space="preserve">037 </v>
      </c>
      <c r="F654" t="s">
        <v>1288</v>
      </c>
      <c r="G654" s="1">
        <v>1000</v>
      </c>
      <c r="H654" t="s">
        <v>33</v>
      </c>
      <c r="I654" t="s">
        <v>15</v>
      </c>
      <c r="J654" s="1">
        <v>72306.789999999994</v>
      </c>
    </row>
    <row r="655" spans="1:10" x14ac:dyDescent="0.25">
      <c r="A655" t="str">
        <f t="shared" si="47"/>
        <v>07/20/20</v>
      </c>
      <c r="B655" t="s">
        <v>1289</v>
      </c>
      <c r="C655" t="str">
        <f>"21215"</f>
        <v>21215</v>
      </c>
      <c r="D655" t="str">
        <f>"4608 "</f>
        <v xml:space="preserve">4608 </v>
      </c>
      <c r="E655" t="str">
        <f>"008 "</f>
        <v xml:space="preserve">008 </v>
      </c>
      <c r="F655" t="s">
        <v>1290</v>
      </c>
      <c r="G655" s="1">
        <v>5000</v>
      </c>
      <c r="H655" t="s">
        <v>14</v>
      </c>
      <c r="I655" t="s">
        <v>15</v>
      </c>
      <c r="J655" s="1">
        <v>47257.91</v>
      </c>
    </row>
    <row r="656" spans="1:10" x14ac:dyDescent="0.25">
      <c r="A656" t="str">
        <f t="shared" si="47"/>
        <v>07/20/20</v>
      </c>
      <c r="B656" t="s">
        <v>1291</v>
      </c>
      <c r="C656" t="str">
        <f>"21215"</f>
        <v>21215</v>
      </c>
      <c r="D656" t="str">
        <f>"4608 "</f>
        <v xml:space="preserve">4608 </v>
      </c>
      <c r="E656" t="str">
        <f>"021 "</f>
        <v xml:space="preserve">021 </v>
      </c>
      <c r="F656" t="s">
        <v>1292</v>
      </c>
      <c r="G656" s="1">
        <v>5000</v>
      </c>
      <c r="H656" t="s">
        <v>14</v>
      </c>
      <c r="I656" t="s">
        <v>15</v>
      </c>
      <c r="J656" s="1">
        <v>74088.11</v>
      </c>
    </row>
    <row r="657" spans="1:10" x14ac:dyDescent="0.25">
      <c r="A657" t="str">
        <f t="shared" si="47"/>
        <v>07/20/20</v>
      </c>
      <c r="B657" t="s">
        <v>1293</v>
      </c>
      <c r="C657" t="str">
        <f>"21213"</f>
        <v>21213</v>
      </c>
      <c r="D657" t="str">
        <f>"4178E"</f>
        <v>4178E</v>
      </c>
      <c r="E657" t="str">
        <f>"036 "</f>
        <v xml:space="preserve">036 </v>
      </c>
      <c r="F657" t="s">
        <v>1294</v>
      </c>
      <c r="G657" s="1">
        <v>33500</v>
      </c>
      <c r="H657" t="s">
        <v>30</v>
      </c>
      <c r="I657" t="s">
        <v>34</v>
      </c>
      <c r="J657" s="1">
        <v>13088.19</v>
      </c>
    </row>
    <row r="658" spans="1:10" x14ac:dyDescent="0.25">
      <c r="A658" t="str">
        <f t="shared" si="47"/>
        <v>07/20/20</v>
      </c>
      <c r="B658" t="s">
        <v>1295</v>
      </c>
      <c r="C658" t="str">
        <f>"21213"</f>
        <v>21213</v>
      </c>
      <c r="D658" t="str">
        <f>"4178E"</f>
        <v>4178E</v>
      </c>
      <c r="E658" t="str">
        <f>"028 "</f>
        <v xml:space="preserve">028 </v>
      </c>
      <c r="F658" t="s">
        <v>1296</v>
      </c>
      <c r="G658" s="1">
        <v>89500</v>
      </c>
      <c r="H658" t="s">
        <v>30</v>
      </c>
      <c r="I658" t="s">
        <v>15</v>
      </c>
      <c r="J658" s="1">
        <v>42174.51</v>
      </c>
    </row>
    <row r="659" spans="1:10" x14ac:dyDescent="0.25">
      <c r="A659" t="str">
        <f t="shared" si="47"/>
        <v>07/20/20</v>
      </c>
      <c r="B659" t="s">
        <v>1297</v>
      </c>
      <c r="C659" t="str">
        <f>"21213"</f>
        <v>21213</v>
      </c>
      <c r="D659" t="str">
        <f>"4178E"</f>
        <v>4178E</v>
      </c>
      <c r="E659" t="str">
        <f>"016 "</f>
        <v xml:space="preserve">016 </v>
      </c>
      <c r="F659" t="s">
        <v>1298</v>
      </c>
      <c r="G659" s="1">
        <v>90700</v>
      </c>
      <c r="H659" t="s">
        <v>30</v>
      </c>
      <c r="I659" t="s">
        <v>34</v>
      </c>
      <c r="J659" s="1">
        <v>42964.57</v>
      </c>
    </row>
    <row r="660" spans="1:10" x14ac:dyDescent="0.25">
      <c r="A660" t="str">
        <f t="shared" si="47"/>
        <v>07/20/20</v>
      </c>
      <c r="B660" t="s">
        <v>1299</v>
      </c>
      <c r="C660" t="str">
        <f>"21216"</f>
        <v>21216</v>
      </c>
      <c r="D660" t="str">
        <f>"2446A"</f>
        <v>2446A</v>
      </c>
      <c r="E660" t="str">
        <f>"016 "</f>
        <v xml:space="preserve">016 </v>
      </c>
      <c r="F660" t="s">
        <v>1300</v>
      </c>
      <c r="G660" s="1">
        <v>17000</v>
      </c>
      <c r="H660" t="s">
        <v>14</v>
      </c>
      <c r="I660" t="s">
        <v>15</v>
      </c>
      <c r="J660" s="1">
        <v>6825.16</v>
      </c>
    </row>
    <row r="661" spans="1:10" x14ac:dyDescent="0.25">
      <c r="A661" t="str">
        <f t="shared" si="47"/>
        <v>07/20/20</v>
      </c>
      <c r="B661" t="s">
        <v>1301</v>
      </c>
      <c r="C661" t="str">
        <f>"21205"</f>
        <v>21205</v>
      </c>
      <c r="D661" t="str">
        <f>"1622 "</f>
        <v xml:space="preserve">1622 </v>
      </c>
      <c r="E661" t="str">
        <f>"021 "</f>
        <v xml:space="preserve">021 </v>
      </c>
      <c r="F661" t="s">
        <v>1302</v>
      </c>
      <c r="G661" s="1">
        <v>7000</v>
      </c>
      <c r="H661" t="s">
        <v>33</v>
      </c>
      <c r="I661" t="s">
        <v>15</v>
      </c>
      <c r="J661" s="1">
        <v>87174.76</v>
      </c>
    </row>
    <row r="662" spans="1:10" x14ac:dyDescent="0.25">
      <c r="A662" t="str">
        <f t="shared" si="47"/>
        <v>07/20/20</v>
      </c>
      <c r="B662" t="s">
        <v>1303</v>
      </c>
      <c r="C662" t="str">
        <f>"21205"</f>
        <v>21205</v>
      </c>
      <c r="D662" t="str">
        <f>"1623 "</f>
        <v xml:space="preserve">1623 </v>
      </c>
      <c r="E662" t="str">
        <f>"026 "</f>
        <v xml:space="preserve">026 </v>
      </c>
      <c r="F662" t="s">
        <v>1304</v>
      </c>
      <c r="G662" s="1">
        <v>3000</v>
      </c>
      <c r="H662" t="s">
        <v>33</v>
      </c>
      <c r="I662" t="s">
        <v>15</v>
      </c>
      <c r="J662" s="1">
        <v>327018.45</v>
      </c>
    </row>
    <row r="663" spans="1:10" x14ac:dyDescent="0.25">
      <c r="A663" t="str">
        <f t="shared" si="47"/>
        <v>07/20/20</v>
      </c>
      <c r="B663" t="s">
        <v>1305</v>
      </c>
      <c r="C663" t="str">
        <f>"21223"</f>
        <v>21223</v>
      </c>
      <c r="D663" t="str">
        <f>"2178 "</f>
        <v xml:space="preserve">2178 </v>
      </c>
      <c r="E663" t="str">
        <f>"050 "</f>
        <v xml:space="preserve">050 </v>
      </c>
      <c r="F663" t="s">
        <v>1306</v>
      </c>
      <c r="G663" s="1">
        <v>1000</v>
      </c>
      <c r="H663" t="s">
        <v>950</v>
      </c>
      <c r="I663" t="s">
        <v>15</v>
      </c>
      <c r="J663" s="1">
        <v>27662.13</v>
      </c>
    </row>
    <row r="664" spans="1:10" x14ac:dyDescent="0.25">
      <c r="A664" t="str">
        <f t="shared" si="47"/>
        <v>07/20/20</v>
      </c>
      <c r="B664" t="s">
        <v>1307</v>
      </c>
      <c r="C664" t="str">
        <f>"21223"</f>
        <v>21223</v>
      </c>
      <c r="D664" t="str">
        <f>"2178 "</f>
        <v xml:space="preserve">2178 </v>
      </c>
      <c r="E664" t="str">
        <f>"046 "</f>
        <v xml:space="preserve">046 </v>
      </c>
      <c r="F664" t="s">
        <v>1308</v>
      </c>
      <c r="G664" s="1">
        <v>1000</v>
      </c>
      <c r="H664" t="s">
        <v>950</v>
      </c>
      <c r="I664" t="s">
        <v>15</v>
      </c>
      <c r="J664" s="1">
        <v>5070.99</v>
      </c>
    </row>
    <row r="665" spans="1:10" x14ac:dyDescent="0.25">
      <c r="A665" t="str">
        <f t="shared" si="47"/>
        <v>07/20/20</v>
      </c>
      <c r="B665" t="s">
        <v>1309</v>
      </c>
      <c r="C665" t="str">
        <f>"21223"</f>
        <v>21223</v>
      </c>
      <c r="D665" t="str">
        <f>"2178 "</f>
        <v xml:space="preserve">2178 </v>
      </c>
      <c r="E665" t="str">
        <f>"043 "</f>
        <v xml:space="preserve">043 </v>
      </c>
      <c r="F665" t="s">
        <v>1308</v>
      </c>
      <c r="G665" s="1">
        <v>1000</v>
      </c>
      <c r="H665" t="s">
        <v>950</v>
      </c>
      <c r="I665" t="s">
        <v>15</v>
      </c>
      <c r="J665" s="1">
        <v>4283.42</v>
      </c>
    </row>
    <row r="666" spans="1:10" x14ac:dyDescent="0.25">
      <c r="A666" t="str">
        <f t="shared" si="47"/>
        <v>07/20/20</v>
      </c>
      <c r="B666" t="s">
        <v>1310</v>
      </c>
      <c r="C666" t="str">
        <f>"21223"</f>
        <v>21223</v>
      </c>
      <c r="D666" t="str">
        <f>"2178 "</f>
        <v xml:space="preserve">2178 </v>
      </c>
      <c r="E666" t="str">
        <f>"044 "</f>
        <v xml:space="preserve">044 </v>
      </c>
      <c r="F666" t="s">
        <v>1308</v>
      </c>
      <c r="G666" s="1">
        <v>1000</v>
      </c>
      <c r="H666" t="s">
        <v>950</v>
      </c>
      <c r="I666" t="s">
        <v>15</v>
      </c>
      <c r="J666" s="1">
        <v>4139.25</v>
      </c>
    </row>
    <row r="667" spans="1:10" x14ac:dyDescent="0.25">
      <c r="A667" t="str">
        <f t="shared" si="47"/>
        <v>07/20/20</v>
      </c>
      <c r="B667" t="s">
        <v>1311</v>
      </c>
      <c r="C667" t="str">
        <f>"21223"</f>
        <v>21223</v>
      </c>
      <c r="D667" t="str">
        <f>"2178 "</f>
        <v xml:space="preserve">2178 </v>
      </c>
      <c r="E667" t="str">
        <f>"045 "</f>
        <v xml:space="preserve">045 </v>
      </c>
      <c r="F667" t="s">
        <v>1308</v>
      </c>
      <c r="G667" s="1">
        <v>1000</v>
      </c>
      <c r="H667" t="s">
        <v>950</v>
      </c>
      <c r="I667" t="s">
        <v>15</v>
      </c>
      <c r="J667" s="1">
        <v>4547.7299999999996</v>
      </c>
    </row>
    <row r="668" spans="1:10" x14ac:dyDescent="0.25">
      <c r="A668" t="str">
        <f t="shared" si="47"/>
        <v>07/20/20</v>
      </c>
      <c r="B668" t="s">
        <v>1312</v>
      </c>
      <c r="C668" t="str">
        <f>"21207"</f>
        <v>21207</v>
      </c>
      <c r="D668" t="str">
        <f>"8298 "</f>
        <v xml:space="preserve">8298 </v>
      </c>
      <c r="E668" t="str">
        <f>"011 "</f>
        <v xml:space="preserve">011 </v>
      </c>
      <c r="F668" t="s">
        <v>1313</v>
      </c>
      <c r="G668" s="1">
        <v>55300</v>
      </c>
      <c r="H668" t="s">
        <v>1314</v>
      </c>
      <c r="I668" t="s">
        <v>15</v>
      </c>
      <c r="J668" s="1">
        <v>65421.39</v>
      </c>
    </row>
    <row r="669" spans="1:10" x14ac:dyDescent="0.25">
      <c r="A669" t="str">
        <f t="shared" si="47"/>
        <v>07/20/20</v>
      </c>
      <c r="B669" t="s">
        <v>1315</v>
      </c>
      <c r="C669" t="str">
        <f>"21215"</f>
        <v>21215</v>
      </c>
      <c r="D669" t="str">
        <f>"4609 "</f>
        <v xml:space="preserve">4609 </v>
      </c>
      <c r="E669" t="str">
        <f>"072 "</f>
        <v xml:space="preserve">072 </v>
      </c>
      <c r="F669" t="s">
        <v>1316</v>
      </c>
      <c r="G669" s="1">
        <v>65100</v>
      </c>
      <c r="H669" t="s">
        <v>14</v>
      </c>
      <c r="I669" t="s">
        <v>15</v>
      </c>
      <c r="J669" s="1">
        <v>16718.509999999998</v>
      </c>
    </row>
    <row r="670" spans="1:10" x14ac:dyDescent="0.25">
      <c r="A670" t="str">
        <f t="shared" si="47"/>
        <v>07/20/20</v>
      </c>
      <c r="B670" t="s">
        <v>1317</v>
      </c>
      <c r="C670" t="str">
        <f>"21215"</f>
        <v>21215</v>
      </c>
      <c r="D670" t="str">
        <f>"4602 "</f>
        <v xml:space="preserve">4602 </v>
      </c>
      <c r="E670" t="str">
        <f>"045 "</f>
        <v xml:space="preserve">045 </v>
      </c>
      <c r="F670" t="s">
        <v>1318</v>
      </c>
      <c r="G670" s="1">
        <v>30000</v>
      </c>
      <c r="H670" t="s">
        <v>14</v>
      </c>
      <c r="I670" t="s">
        <v>15</v>
      </c>
      <c r="J670" s="1">
        <v>22251.08</v>
      </c>
    </row>
    <row r="671" spans="1:10" x14ac:dyDescent="0.25">
      <c r="A671" t="str">
        <f t="shared" si="47"/>
        <v>07/20/20</v>
      </c>
      <c r="B671" t="s">
        <v>1319</v>
      </c>
      <c r="C671" t="str">
        <f>"21229"</f>
        <v>21229</v>
      </c>
      <c r="D671" t="str">
        <f>"2530A"</f>
        <v>2530A</v>
      </c>
      <c r="E671" t="str">
        <f>"015 "</f>
        <v xml:space="preserve">015 </v>
      </c>
      <c r="F671" t="s">
        <v>1320</v>
      </c>
      <c r="G671" s="1">
        <v>1600</v>
      </c>
      <c r="H671" t="s">
        <v>30</v>
      </c>
      <c r="I671" t="s">
        <v>15</v>
      </c>
      <c r="J671" s="1">
        <v>1065.77</v>
      </c>
    </row>
    <row r="672" spans="1:10" x14ac:dyDescent="0.25">
      <c r="A672" t="str">
        <f t="shared" si="47"/>
        <v>07/20/20</v>
      </c>
      <c r="B672" t="s">
        <v>1321</v>
      </c>
      <c r="C672" t="str">
        <f>"21213"</f>
        <v>21213</v>
      </c>
      <c r="D672" t="str">
        <f>"4188D"</f>
        <v>4188D</v>
      </c>
      <c r="E672" t="str">
        <f>"023 "</f>
        <v xml:space="preserve">023 </v>
      </c>
      <c r="F672" t="s">
        <v>1322</v>
      </c>
      <c r="G672" s="1">
        <v>35100</v>
      </c>
      <c r="H672" t="s">
        <v>30</v>
      </c>
      <c r="I672" t="s">
        <v>34</v>
      </c>
      <c r="J672" s="1">
        <v>14106.23</v>
      </c>
    </row>
    <row r="673" spans="1:10" x14ac:dyDescent="0.25">
      <c r="A673" t="str">
        <f t="shared" si="47"/>
        <v>07/20/20</v>
      </c>
      <c r="B673" t="s">
        <v>1323</v>
      </c>
      <c r="C673" t="str">
        <f>"21217"</f>
        <v>21217</v>
      </c>
      <c r="D673" t="str">
        <f>"3418A"</f>
        <v>3418A</v>
      </c>
      <c r="E673" t="str">
        <f>"067 "</f>
        <v xml:space="preserve">067 </v>
      </c>
      <c r="F673" t="s">
        <v>1324</v>
      </c>
      <c r="G673" s="1">
        <v>2400</v>
      </c>
      <c r="H673" t="s">
        <v>33</v>
      </c>
      <c r="I673" t="s">
        <v>15</v>
      </c>
      <c r="J673" s="1">
        <v>3660.25</v>
      </c>
    </row>
    <row r="674" spans="1:10" x14ac:dyDescent="0.25">
      <c r="A674" t="str">
        <f t="shared" si="47"/>
        <v>07/20/20</v>
      </c>
      <c r="B674" t="s">
        <v>1325</v>
      </c>
      <c r="C674" t="str">
        <f>"21229"</f>
        <v>21229</v>
      </c>
      <c r="D674" t="str">
        <f>"2243A"</f>
        <v>2243A</v>
      </c>
      <c r="E674" t="str">
        <f>"013 "</f>
        <v xml:space="preserve">013 </v>
      </c>
      <c r="F674" t="s">
        <v>1326</v>
      </c>
      <c r="G674" s="1">
        <v>13800</v>
      </c>
      <c r="H674" t="s">
        <v>91</v>
      </c>
      <c r="I674" t="s">
        <v>34</v>
      </c>
      <c r="J674" s="1">
        <v>12068.81</v>
      </c>
    </row>
    <row r="675" spans="1:10" x14ac:dyDescent="0.25">
      <c r="A675" t="str">
        <f t="shared" si="47"/>
        <v>07/20/20</v>
      </c>
      <c r="B675" t="s">
        <v>1327</v>
      </c>
      <c r="C675" t="str">
        <f>"21229"</f>
        <v>21229</v>
      </c>
      <c r="D675" t="str">
        <f>"2243B"</f>
        <v>2243B</v>
      </c>
      <c r="E675" t="str">
        <f>"019 "</f>
        <v xml:space="preserve">019 </v>
      </c>
      <c r="F675" t="s">
        <v>1328</v>
      </c>
      <c r="G675" s="1">
        <v>15900</v>
      </c>
      <c r="H675" t="s">
        <v>91</v>
      </c>
      <c r="I675" t="s">
        <v>15</v>
      </c>
      <c r="J675" s="1">
        <v>14371.2</v>
      </c>
    </row>
    <row r="676" spans="1:10" x14ac:dyDescent="0.25">
      <c r="A676" t="str">
        <f t="shared" si="47"/>
        <v>07/20/20</v>
      </c>
      <c r="B676" t="s">
        <v>1329</v>
      </c>
      <c r="C676" t="str">
        <f>"21205"</f>
        <v>21205</v>
      </c>
      <c r="D676" t="str">
        <f>"1647 "</f>
        <v xml:space="preserve">1647 </v>
      </c>
      <c r="E676" t="str">
        <f>"044 "</f>
        <v xml:space="preserve">044 </v>
      </c>
      <c r="F676" t="s">
        <v>1330</v>
      </c>
      <c r="G676" s="1">
        <v>15200</v>
      </c>
      <c r="H676" t="s">
        <v>33</v>
      </c>
      <c r="I676" t="s">
        <v>34</v>
      </c>
      <c r="J676" s="1">
        <v>78112.740000000005</v>
      </c>
    </row>
    <row r="677" spans="1:10" x14ac:dyDescent="0.25">
      <c r="A677" t="str">
        <f t="shared" si="47"/>
        <v>07/20/20</v>
      </c>
      <c r="B677" t="s">
        <v>1331</v>
      </c>
      <c r="C677" t="str">
        <f>"21205"</f>
        <v>21205</v>
      </c>
      <c r="D677" t="str">
        <f>"1642 "</f>
        <v xml:space="preserve">1642 </v>
      </c>
      <c r="E677" t="str">
        <f>"016 "</f>
        <v xml:space="preserve">016 </v>
      </c>
      <c r="F677" t="s">
        <v>1332</v>
      </c>
      <c r="G677" s="1">
        <v>2000</v>
      </c>
      <c r="H677" t="s">
        <v>33</v>
      </c>
      <c r="I677" t="s">
        <v>15</v>
      </c>
      <c r="J677" s="1">
        <v>73156.94</v>
      </c>
    </row>
    <row r="678" spans="1:10" x14ac:dyDescent="0.25">
      <c r="A678" t="str">
        <f t="shared" si="47"/>
        <v>07/20/20</v>
      </c>
      <c r="B678" t="s">
        <v>1333</v>
      </c>
      <c r="C678" t="str">
        <f>"21205"</f>
        <v>21205</v>
      </c>
      <c r="D678" t="str">
        <f>"1653 "</f>
        <v xml:space="preserve">1653 </v>
      </c>
      <c r="E678" t="str">
        <f>"038 "</f>
        <v xml:space="preserve">038 </v>
      </c>
      <c r="F678" t="s">
        <v>1334</v>
      </c>
      <c r="G678" s="1">
        <v>7000</v>
      </c>
      <c r="H678" t="s">
        <v>33</v>
      </c>
      <c r="I678" t="s">
        <v>15</v>
      </c>
      <c r="J678" s="1">
        <v>4528.3500000000004</v>
      </c>
    </row>
    <row r="679" spans="1:10" x14ac:dyDescent="0.25">
      <c r="A679" t="str">
        <f t="shared" si="47"/>
        <v>07/20/20</v>
      </c>
      <c r="B679" t="s">
        <v>1335</v>
      </c>
      <c r="C679" t="str">
        <f>"21205"</f>
        <v>21205</v>
      </c>
      <c r="D679" t="str">
        <f>"6158A"</f>
        <v>6158A</v>
      </c>
      <c r="E679" t="str">
        <f>"020 "</f>
        <v xml:space="preserve">020 </v>
      </c>
      <c r="F679" t="s">
        <v>1336</v>
      </c>
      <c r="G679" s="1">
        <v>15700</v>
      </c>
      <c r="H679" t="s">
        <v>33</v>
      </c>
      <c r="I679" t="s">
        <v>34</v>
      </c>
      <c r="J679" s="1">
        <v>4582.3100000000004</v>
      </c>
    </row>
    <row r="680" spans="1:10" x14ac:dyDescent="0.25">
      <c r="A680" t="str">
        <f t="shared" si="47"/>
        <v>07/20/20</v>
      </c>
      <c r="B680" t="s">
        <v>1337</v>
      </c>
      <c r="C680" t="str">
        <f t="shared" ref="C680:C685" si="49">"21223"</f>
        <v>21223</v>
      </c>
      <c r="D680" t="str">
        <f>"2177 "</f>
        <v xml:space="preserve">2177 </v>
      </c>
      <c r="E680" t="str">
        <f>"054 "</f>
        <v xml:space="preserve">054 </v>
      </c>
      <c r="F680" t="s">
        <v>1117</v>
      </c>
      <c r="G680" s="1">
        <v>1000</v>
      </c>
      <c r="H680" t="s">
        <v>33</v>
      </c>
      <c r="I680" t="s">
        <v>15</v>
      </c>
      <c r="J680" s="1">
        <v>80841.94</v>
      </c>
    </row>
    <row r="681" spans="1:10" x14ac:dyDescent="0.25">
      <c r="A681" t="str">
        <f t="shared" si="47"/>
        <v>07/20/20</v>
      </c>
      <c r="B681" t="s">
        <v>1338</v>
      </c>
      <c r="C681" t="str">
        <f t="shared" si="49"/>
        <v>21223</v>
      </c>
      <c r="D681" t="str">
        <f>"2177 "</f>
        <v xml:space="preserve">2177 </v>
      </c>
      <c r="E681" t="str">
        <f>"061 "</f>
        <v xml:space="preserve">061 </v>
      </c>
      <c r="F681" t="s">
        <v>1339</v>
      </c>
      <c r="G681" s="1">
        <v>16200</v>
      </c>
      <c r="H681" t="s">
        <v>33</v>
      </c>
      <c r="I681" t="s">
        <v>15</v>
      </c>
      <c r="J681" s="1">
        <v>35799.839999999997</v>
      </c>
    </row>
    <row r="682" spans="1:10" x14ac:dyDescent="0.25">
      <c r="A682" t="str">
        <f t="shared" si="47"/>
        <v>07/20/20</v>
      </c>
      <c r="B682" t="s">
        <v>1340</v>
      </c>
      <c r="C682" t="str">
        <f t="shared" si="49"/>
        <v>21223</v>
      </c>
      <c r="D682" t="str">
        <f>"0275 "</f>
        <v xml:space="preserve">0275 </v>
      </c>
      <c r="E682" t="str">
        <f>"071 "</f>
        <v xml:space="preserve">071 </v>
      </c>
      <c r="F682" t="s">
        <v>1341</v>
      </c>
      <c r="G682" s="1">
        <v>23000</v>
      </c>
      <c r="H682" t="s">
        <v>33</v>
      </c>
      <c r="I682" t="s">
        <v>34</v>
      </c>
      <c r="J682" s="1">
        <v>13638.9</v>
      </c>
    </row>
    <row r="683" spans="1:10" x14ac:dyDescent="0.25">
      <c r="A683" t="str">
        <f t="shared" si="47"/>
        <v>07/20/20</v>
      </c>
      <c r="B683" t="s">
        <v>1342</v>
      </c>
      <c r="C683" t="str">
        <f t="shared" si="49"/>
        <v>21223</v>
      </c>
      <c r="D683" t="str">
        <f>"0272 "</f>
        <v xml:space="preserve">0272 </v>
      </c>
      <c r="E683" t="str">
        <f>"008 "</f>
        <v xml:space="preserve">008 </v>
      </c>
      <c r="F683" t="s">
        <v>1343</v>
      </c>
      <c r="G683" s="1">
        <v>15000</v>
      </c>
      <c r="H683" t="s">
        <v>33</v>
      </c>
      <c r="I683" t="s">
        <v>15</v>
      </c>
      <c r="J683" s="1">
        <v>0</v>
      </c>
    </row>
    <row r="684" spans="1:10" x14ac:dyDescent="0.25">
      <c r="A684" t="str">
        <f t="shared" si="47"/>
        <v>07/20/20</v>
      </c>
      <c r="B684" t="s">
        <v>1344</v>
      </c>
      <c r="C684" t="str">
        <f t="shared" si="49"/>
        <v>21223</v>
      </c>
      <c r="D684" t="str">
        <f>"0273 "</f>
        <v xml:space="preserve">0273 </v>
      </c>
      <c r="E684" t="str">
        <f>"069 "</f>
        <v xml:space="preserve">069 </v>
      </c>
      <c r="F684" t="s">
        <v>1345</v>
      </c>
      <c r="G684" s="1">
        <v>6000</v>
      </c>
      <c r="H684" t="s">
        <v>33</v>
      </c>
      <c r="I684" t="s">
        <v>34</v>
      </c>
      <c r="J684" s="1">
        <v>5889.01</v>
      </c>
    </row>
    <row r="685" spans="1:10" x14ac:dyDescent="0.25">
      <c r="A685" t="str">
        <f t="shared" si="47"/>
        <v>07/20/20</v>
      </c>
      <c r="B685" t="s">
        <v>1346</v>
      </c>
      <c r="C685" t="str">
        <f t="shared" si="49"/>
        <v>21223</v>
      </c>
      <c r="D685" t="str">
        <f>"0280 "</f>
        <v xml:space="preserve">0280 </v>
      </c>
      <c r="E685" t="str">
        <f>"072 "</f>
        <v xml:space="preserve">072 </v>
      </c>
      <c r="F685" t="s">
        <v>1347</v>
      </c>
      <c r="G685" s="1">
        <v>7000</v>
      </c>
      <c r="H685" t="s">
        <v>33</v>
      </c>
      <c r="I685" t="s">
        <v>34</v>
      </c>
      <c r="J685" s="1">
        <v>571.79999999999995</v>
      </c>
    </row>
    <row r="686" spans="1:10" x14ac:dyDescent="0.25">
      <c r="A686" t="str">
        <f t="shared" si="47"/>
        <v>07/20/20</v>
      </c>
      <c r="B686" t="s">
        <v>1348</v>
      </c>
      <c r="C686" t="str">
        <f t="shared" ref="C686:C698" si="50">"21217"</f>
        <v>21217</v>
      </c>
      <c r="D686" t="str">
        <f>"0050 "</f>
        <v xml:space="preserve">0050 </v>
      </c>
      <c r="E686" t="str">
        <f>"052 "</f>
        <v xml:space="preserve">052 </v>
      </c>
      <c r="F686" t="s">
        <v>1349</v>
      </c>
      <c r="G686" s="1">
        <v>7000</v>
      </c>
      <c r="H686" t="s">
        <v>33</v>
      </c>
      <c r="I686" t="s">
        <v>34</v>
      </c>
      <c r="J686" s="1">
        <v>4464.3100000000004</v>
      </c>
    </row>
    <row r="687" spans="1:10" x14ac:dyDescent="0.25">
      <c r="A687" t="str">
        <f t="shared" si="47"/>
        <v>07/20/20</v>
      </c>
      <c r="B687" t="s">
        <v>1350</v>
      </c>
      <c r="C687" t="str">
        <f t="shared" si="50"/>
        <v>21217</v>
      </c>
      <c r="D687" t="str">
        <f>"0014 "</f>
        <v xml:space="preserve">0014 </v>
      </c>
      <c r="E687" t="str">
        <f>"033 "</f>
        <v xml:space="preserve">033 </v>
      </c>
      <c r="F687" t="s">
        <v>1351</v>
      </c>
      <c r="G687" s="1">
        <v>17000</v>
      </c>
      <c r="H687" t="s">
        <v>30</v>
      </c>
      <c r="I687" t="s">
        <v>34</v>
      </c>
      <c r="J687" s="1">
        <v>3676.36</v>
      </c>
    </row>
    <row r="688" spans="1:10" x14ac:dyDescent="0.25">
      <c r="A688" t="str">
        <f t="shared" si="47"/>
        <v>07/20/20</v>
      </c>
      <c r="B688" t="s">
        <v>1352</v>
      </c>
      <c r="C688" t="str">
        <f t="shared" si="50"/>
        <v>21217</v>
      </c>
      <c r="D688" t="str">
        <f>"0050 "</f>
        <v xml:space="preserve">0050 </v>
      </c>
      <c r="E688" t="str">
        <f>"053 "</f>
        <v xml:space="preserve">053 </v>
      </c>
      <c r="F688" t="s">
        <v>1353</v>
      </c>
      <c r="G688" s="1">
        <v>7000</v>
      </c>
      <c r="H688" t="s">
        <v>33</v>
      </c>
      <c r="I688" t="s">
        <v>34</v>
      </c>
      <c r="J688" s="1">
        <v>6602.95</v>
      </c>
    </row>
    <row r="689" spans="1:10" x14ac:dyDescent="0.25">
      <c r="A689" t="str">
        <f t="shared" si="47"/>
        <v>07/20/20</v>
      </c>
      <c r="B689" t="s">
        <v>1354</v>
      </c>
      <c r="C689" t="str">
        <f t="shared" si="50"/>
        <v>21217</v>
      </c>
      <c r="D689" t="str">
        <f>"0008 "</f>
        <v xml:space="preserve">0008 </v>
      </c>
      <c r="E689" t="str">
        <f>"051 "</f>
        <v xml:space="preserve">051 </v>
      </c>
      <c r="F689" t="s">
        <v>489</v>
      </c>
      <c r="G689" s="1">
        <v>6000</v>
      </c>
      <c r="H689" t="s">
        <v>30</v>
      </c>
      <c r="I689" t="s">
        <v>15</v>
      </c>
      <c r="J689" s="1">
        <v>2340.66</v>
      </c>
    </row>
    <row r="690" spans="1:10" x14ac:dyDescent="0.25">
      <c r="A690" t="str">
        <f t="shared" si="47"/>
        <v>07/20/20</v>
      </c>
      <c r="B690" t="s">
        <v>1355</v>
      </c>
      <c r="C690" t="str">
        <f t="shared" si="50"/>
        <v>21217</v>
      </c>
      <c r="D690" t="str">
        <f>"0008 "</f>
        <v xml:space="preserve">0008 </v>
      </c>
      <c r="E690" t="str">
        <f>"028 "</f>
        <v xml:space="preserve">028 </v>
      </c>
      <c r="F690" t="s">
        <v>1356</v>
      </c>
      <c r="G690" s="1">
        <v>6000</v>
      </c>
      <c r="H690" t="s">
        <v>30</v>
      </c>
      <c r="I690" t="s">
        <v>34</v>
      </c>
      <c r="J690" s="1">
        <v>24185.46</v>
      </c>
    </row>
    <row r="691" spans="1:10" x14ac:dyDescent="0.25">
      <c r="A691" t="str">
        <f t="shared" si="47"/>
        <v>07/20/20</v>
      </c>
      <c r="B691" t="s">
        <v>1357</v>
      </c>
      <c r="C691" t="str">
        <f t="shared" si="50"/>
        <v>21217</v>
      </c>
      <c r="D691" t="str">
        <f>"0008 "</f>
        <v xml:space="preserve">0008 </v>
      </c>
      <c r="E691" t="str">
        <f>"026 "</f>
        <v xml:space="preserve">026 </v>
      </c>
      <c r="F691" t="s">
        <v>1358</v>
      </c>
      <c r="G691" s="1">
        <v>6000</v>
      </c>
      <c r="H691" t="s">
        <v>30</v>
      </c>
      <c r="I691" t="s">
        <v>34</v>
      </c>
      <c r="J691" s="1">
        <v>14932.16</v>
      </c>
    </row>
    <row r="692" spans="1:10" x14ac:dyDescent="0.25">
      <c r="A692" t="str">
        <f t="shared" si="47"/>
        <v>07/20/20</v>
      </c>
      <c r="B692" t="s">
        <v>1359</v>
      </c>
      <c r="C692" t="str">
        <f t="shared" si="50"/>
        <v>21217</v>
      </c>
      <c r="D692" t="str">
        <f>"0008 "</f>
        <v xml:space="preserve">0008 </v>
      </c>
      <c r="E692" t="str">
        <f>"025 "</f>
        <v xml:space="preserve">025 </v>
      </c>
      <c r="F692" t="s">
        <v>1360</v>
      </c>
      <c r="G692" s="1">
        <v>6000</v>
      </c>
      <c r="H692" t="s">
        <v>30</v>
      </c>
      <c r="I692" t="s">
        <v>34</v>
      </c>
      <c r="J692" s="1">
        <v>38234.94</v>
      </c>
    </row>
    <row r="693" spans="1:10" x14ac:dyDescent="0.25">
      <c r="A693" t="str">
        <f t="shared" si="47"/>
        <v>07/20/20</v>
      </c>
      <c r="B693" t="s">
        <v>1361</v>
      </c>
      <c r="C693" t="str">
        <f t="shared" si="50"/>
        <v>21217</v>
      </c>
      <c r="D693" t="str">
        <f>"0059 "</f>
        <v xml:space="preserve">0059 </v>
      </c>
      <c r="E693" t="str">
        <f>"077 "</f>
        <v xml:space="preserve">077 </v>
      </c>
      <c r="F693" t="s">
        <v>1362</v>
      </c>
      <c r="G693" s="1">
        <v>7000</v>
      </c>
      <c r="H693" t="s">
        <v>33</v>
      </c>
      <c r="I693" t="s">
        <v>34</v>
      </c>
      <c r="J693" s="1">
        <v>373.7</v>
      </c>
    </row>
    <row r="694" spans="1:10" x14ac:dyDescent="0.25">
      <c r="A694" t="str">
        <f t="shared" si="47"/>
        <v>07/20/20</v>
      </c>
      <c r="B694" t="s">
        <v>1363</v>
      </c>
      <c r="C694" t="str">
        <f t="shared" si="50"/>
        <v>21217</v>
      </c>
      <c r="D694" t="str">
        <f>"0059 "</f>
        <v xml:space="preserve">0059 </v>
      </c>
      <c r="E694" t="str">
        <f>"081 "</f>
        <v xml:space="preserve">081 </v>
      </c>
      <c r="F694" t="s">
        <v>1364</v>
      </c>
      <c r="G694" s="1">
        <v>16200</v>
      </c>
      <c r="H694" t="s">
        <v>33</v>
      </c>
      <c r="I694" t="s">
        <v>15</v>
      </c>
      <c r="J694" s="1">
        <v>11008.68</v>
      </c>
    </row>
    <row r="695" spans="1:10" x14ac:dyDescent="0.25">
      <c r="A695" t="str">
        <f t="shared" si="47"/>
        <v>07/20/20</v>
      </c>
      <c r="B695" t="s">
        <v>1365</v>
      </c>
      <c r="C695" t="str">
        <f t="shared" si="50"/>
        <v>21217</v>
      </c>
      <c r="D695" t="str">
        <f>"0072 "</f>
        <v xml:space="preserve">0072 </v>
      </c>
      <c r="E695" t="str">
        <f>"061 "</f>
        <v xml:space="preserve">061 </v>
      </c>
      <c r="F695" t="s">
        <v>1366</v>
      </c>
      <c r="G695" s="1">
        <v>7000</v>
      </c>
      <c r="H695" t="s">
        <v>33</v>
      </c>
      <c r="I695" t="s">
        <v>34</v>
      </c>
      <c r="J695" s="1">
        <v>30208.400000000001</v>
      </c>
    </row>
    <row r="696" spans="1:10" x14ac:dyDescent="0.25">
      <c r="A696" t="str">
        <f t="shared" si="47"/>
        <v>07/20/20</v>
      </c>
      <c r="B696" t="s">
        <v>1367</v>
      </c>
      <c r="C696" t="str">
        <f t="shared" si="50"/>
        <v>21217</v>
      </c>
      <c r="D696" t="str">
        <f>"0084 "</f>
        <v xml:space="preserve">0084 </v>
      </c>
      <c r="E696" t="str">
        <f>"080 "</f>
        <v xml:space="preserve">080 </v>
      </c>
      <c r="F696" t="s">
        <v>1368</v>
      </c>
      <c r="G696" s="1">
        <v>6000</v>
      </c>
      <c r="H696" t="s">
        <v>33</v>
      </c>
      <c r="I696" t="s">
        <v>34</v>
      </c>
      <c r="J696" s="1">
        <v>92326.86</v>
      </c>
    </row>
    <row r="697" spans="1:10" x14ac:dyDescent="0.25">
      <c r="A697" t="str">
        <f t="shared" si="47"/>
        <v>07/20/20</v>
      </c>
      <c r="B697" t="s">
        <v>1369</v>
      </c>
      <c r="C697" t="str">
        <f t="shared" si="50"/>
        <v>21217</v>
      </c>
      <c r="D697" t="str">
        <f>"0072 "</f>
        <v xml:space="preserve">0072 </v>
      </c>
      <c r="E697" t="str">
        <f>"077 "</f>
        <v xml:space="preserve">077 </v>
      </c>
      <c r="F697" t="s">
        <v>1370</v>
      </c>
      <c r="G697" s="1">
        <v>7000</v>
      </c>
      <c r="H697" t="s">
        <v>33</v>
      </c>
      <c r="I697" t="s">
        <v>34</v>
      </c>
      <c r="J697" s="1">
        <v>27133.96</v>
      </c>
    </row>
    <row r="698" spans="1:10" x14ac:dyDescent="0.25">
      <c r="A698" t="str">
        <f t="shared" si="47"/>
        <v>07/20/20</v>
      </c>
      <c r="B698" t="s">
        <v>1371</v>
      </c>
      <c r="C698" t="str">
        <f t="shared" si="50"/>
        <v>21217</v>
      </c>
      <c r="D698" t="str">
        <f>"3208 "</f>
        <v xml:space="preserve">3208 </v>
      </c>
      <c r="E698" t="str">
        <f>"075 "</f>
        <v xml:space="preserve">075 </v>
      </c>
      <c r="F698" t="s">
        <v>1372</v>
      </c>
      <c r="G698" s="1">
        <v>6000</v>
      </c>
      <c r="H698" t="s">
        <v>33</v>
      </c>
      <c r="I698" t="s">
        <v>34</v>
      </c>
      <c r="J698" s="1">
        <v>13156.55</v>
      </c>
    </row>
    <row r="699" spans="1:10" x14ac:dyDescent="0.25">
      <c r="A699" t="str">
        <f t="shared" si="47"/>
        <v>07/20/20</v>
      </c>
      <c r="B699" t="s">
        <v>1373</v>
      </c>
      <c r="C699" t="str">
        <f>"21223"</f>
        <v>21223</v>
      </c>
      <c r="D699" t="str">
        <f>"0221 "</f>
        <v xml:space="preserve">0221 </v>
      </c>
      <c r="E699" t="str">
        <f>"003 "</f>
        <v xml:space="preserve">003 </v>
      </c>
      <c r="F699" t="s">
        <v>1374</v>
      </c>
      <c r="G699" s="1">
        <v>1000</v>
      </c>
      <c r="H699" t="s">
        <v>661</v>
      </c>
      <c r="I699" t="s">
        <v>15</v>
      </c>
      <c r="J699" s="1">
        <v>87022.83</v>
      </c>
    </row>
    <row r="700" spans="1:10" x14ac:dyDescent="0.25">
      <c r="A700" t="str">
        <f t="shared" si="47"/>
        <v>07/20/20</v>
      </c>
      <c r="B700" t="s">
        <v>1375</v>
      </c>
      <c r="C700" t="str">
        <f>"21223"</f>
        <v>21223</v>
      </c>
      <c r="D700" t="str">
        <f>"0221 "</f>
        <v xml:space="preserve">0221 </v>
      </c>
      <c r="E700" t="str">
        <f>"008 "</f>
        <v xml:space="preserve">008 </v>
      </c>
      <c r="F700" t="s">
        <v>1374</v>
      </c>
      <c r="G700" s="1">
        <v>1000</v>
      </c>
      <c r="H700" t="s">
        <v>661</v>
      </c>
      <c r="I700" t="s">
        <v>15</v>
      </c>
      <c r="J700" s="1">
        <v>116883.18</v>
      </c>
    </row>
    <row r="701" spans="1:10" x14ac:dyDescent="0.25">
      <c r="A701" t="str">
        <f t="shared" si="47"/>
        <v>07/20/20</v>
      </c>
      <c r="B701" t="s">
        <v>1376</v>
      </c>
      <c r="C701" t="str">
        <f>"21223"</f>
        <v>21223</v>
      </c>
      <c r="D701" t="str">
        <f>"0221 "</f>
        <v xml:space="preserve">0221 </v>
      </c>
      <c r="E701" t="str">
        <f>"012 "</f>
        <v xml:space="preserve">012 </v>
      </c>
      <c r="F701" t="s">
        <v>1377</v>
      </c>
      <c r="G701" s="1">
        <v>2800</v>
      </c>
      <c r="H701" t="s">
        <v>661</v>
      </c>
      <c r="I701" t="s">
        <v>15</v>
      </c>
      <c r="J701" s="1">
        <v>64035.25</v>
      </c>
    </row>
    <row r="702" spans="1:10" x14ac:dyDescent="0.25">
      <c r="A702" t="str">
        <f t="shared" si="47"/>
        <v>07/20/20</v>
      </c>
      <c r="B702" t="s">
        <v>1378</v>
      </c>
      <c r="C702" t="str">
        <f>"21223"</f>
        <v>21223</v>
      </c>
      <c r="D702" t="str">
        <f>"0221 "</f>
        <v xml:space="preserve">0221 </v>
      </c>
      <c r="E702" t="str">
        <f>"011 "</f>
        <v xml:space="preserve">011 </v>
      </c>
      <c r="F702" t="s">
        <v>1377</v>
      </c>
      <c r="G702" s="1">
        <v>2800</v>
      </c>
      <c r="H702" t="s">
        <v>661</v>
      </c>
      <c r="I702" t="s">
        <v>15</v>
      </c>
      <c r="J702" s="1">
        <v>64249.38</v>
      </c>
    </row>
    <row r="703" spans="1:10" x14ac:dyDescent="0.25">
      <c r="A703" t="str">
        <f t="shared" si="47"/>
        <v>07/20/20</v>
      </c>
      <c r="B703" t="s">
        <v>1379</v>
      </c>
      <c r="C703" t="str">
        <f>"21211"</f>
        <v>21211</v>
      </c>
      <c r="D703" t="str">
        <f>"3644 "</f>
        <v xml:space="preserve">3644 </v>
      </c>
      <c r="E703" t="str">
        <f>"063 "</f>
        <v xml:space="preserve">063 </v>
      </c>
      <c r="F703" t="s">
        <v>1380</v>
      </c>
      <c r="G703" s="1">
        <v>80700</v>
      </c>
      <c r="H703" t="s">
        <v>33</v>
      </c>
      <c r="I703" t="s">
        <v>15</v>
      </c>
      <c r="J703" s="1">
        <v>159947.85</v>
      </c>
    </row>
    <row r="704" spans="1:10" x14ac:dyDescent="0.25">
      <c r="A704" t="str">
        <f t="shared" si="47"/>
        <v>07/20/20</v>
      </c>
      <c r="B704" t="s">
        <v>1381</v>
      </c>
      <c r="C704" t="str">
        <f>"21207"</f>
        <v>21207</v>
      </c>
      <c r="D704" t="str">
        <f>"8257 "</f>
        <v xml:space="preserve">8257 </v>
      </c>
      <c r="E704" t="str">
        <f>"008 "</f>
        <v xml:space="preserve">008 </v>
      </c>
      <c r="F704" t="s">
        <v>1382</v>
      </c>
      <c r="G704" s="1">
        <v>10000</v>
      </c>
      <c r="H704" t="s">
        <v>124</v>
      </c>
      <c r="I704" t="s">
        <v>15</v>
      </c>
      <c r="J704" s="1">
        <v>214751.94</v>
      </c>
    </row>
    <row r="705" spans="1:10" x14ac:dyDescent="0.25">
      <c r="A705" t="str">
        <f t="shared" si="47"/>
        <v>07/20/20</v>
      </c>
      <c r="B705" t="s">
        <v>1383</v>
      </c>
      <c r="C705" t="str">
        <f>"21205"</f>
        <v>21205</v>
      </c>
      <c r="D705" t="str">
        <f t="shared" ref="D705:D712" si="51">"1623 "</f>
        <v xml:space="preserve">1623 </v>
      </c>
      <c r="E705" t="str">
        <f>"067 "</f>
        <v xml:space="preserve">067 </v>
      </c>
      <c r="F705" t="s">
        <v>1384</v>
      </c>
      <c r="G705" s="1">
        <v>2000</v>
      </c>
      <c r="H705" t="s">
        <v>33</v>
      </c>
      <c r="I705" t="s">
        <v>15</v>
      </c>
      <c r="J705" s="1">
        <v>74735.350000000006</v>
      </c>
    </row>
    <row r="706" spans="1:10" x14ac:dyDescent="0.25">
      <c r="A706" t="str">
        <f t="shared" si="47"/>
        <v>07/20/20</v>
      </c>
      <c r="B706" t="s">
        <v>1385</v>
      </c>
      <c r="C706" t="str">
        <f>"21205"</f>
        <v>21205</v>
      </c>
      <c r="D706" t="str">
        <f t="shared" si="51"/>
        <v xml:space="preserve">1623 </v>
      </c>
      <c r="E706" t="str">
        <f>"079 "</f>
        <v xml:space="preserve">079 </v>
      </c>
      <c r="F706" t="s">
        <v>1386</v>
      </c>
      <c r="G706" s="1">
        <v>2000</v>
      </c>
      <c r="H706" t="s">
        <v>33</v>
      </c>
      <c r="I706" t="s">
        <v>15</v>
      </c>
      <c r="J706" s="1">
        <v>176527.18</v>
      </c>
    </row>
    <row r="707" spans="1:10" x14ac:dyDescent="0.25">
      <c r="A707" t="str">
        <f t="shared" ref="A707:A770" si="52">"07/20/20"</f>
        <v>07/20/20</v>
      </c>
      <c r="B707" t="s">
        <v>1387</v>
      </c>
      <c r="C707" t="str">
        <f>"21205"</f>
        <v>21205</v>
      </c>
      <c r="D707" t="str">
        <f t="shared" si="51"/>
        <v xml:space="preserve">1623 </v>
      </c>
      <c r="E707" t="str">
        <f>"078 "</f>
        <v xml:space="preserve">078 </v>
      </c>
      <c r="F707" t="s">
        <v>1388</v>
      </c>
      <c r="G707" s="1">
        <v>2000</v>
      </c>
      <c r="H707" t="s">
        <v>33</v>
      </c>
      <c r="I707" t="s">
        <v>15</v>
      </c>
      <c r="J707" s="1">
        <v>159885.97</v>
      </c>
    </row>
    <row r="708" spans="1:10" x14ac:dyDescent="0.25">
      <c r="A708" t="str">
        <f t="shared" si="52"/>
        <v>07/20/20</v>
      </c>
      <c r="B708" t="s">
        <v>1389</v>
      </c>
      <c r="C708" t="str">
        <f>"21205"</f>
        <v>21205</v>
      </c>
      <c r="D708" t="str">
        <f t="shared" si="51"/>
        <v xml:space="preserve">1623 </v>
      </c>
      <c r="E708" t="str">
        <f>"069 "</f>
        <v xml:space="preserve">069 </v>
      </c>
      <c r="F708" t="s">
        <v>1390</v>
      </c>
      <c r="G708" s="1">
        <v>2000</v>
      </c>
      <c r="H708" t="s">
        <v>33</v>
      </c>
      <c r="I708" t="s">
        <v>15</v>
      </c>
      <c r="J708" s="1">
        <v>7879.96</v>
      </c>
    </row>
    <row r="709" spans="1:10" x14ac:dyDescent="0.25">
      <c r="A709" t="str">
        <f t="shared" si="52"/>
        <v>07/20/20</v>
      </c>
      <c r="B709" t="s">
        <v>1391</v>
      </c>
      <c r="C709" t="str">
        <f>"21205"</f>
        <v>21205</v>
      </c>
      <c r="D709" t="str">
        <f t="shared" si="51"/>
        <v xml:space="preserve">1623 </v>
      </c>
      <c r="E709" t="str">
        <f>"068 "</f>
        <v xml:space="preserve">068 </v>
      </c>
      <c r="F709" t="s">
        <v>1392</v>
      </c>
      <c r="G709" s="1">
        <v>2000</v>
      </c>
      <c r="H709" t="s">
        <v>33</v>
      </c>
      <c r="I709" t="s">
        <v>15</v>
      </c>
      <c r="J709" s="1">
        <v>88597.99</v>
      </c>
    </row>
    <row r="710" spans="1:10" x14ac:dyDescent="0.25">
      <c r="A710" t="str">
        <f t="shared" si="52"/>
        <v>07/20/20</v>
      </c>
      <c r="B710" t="s">
        <v>1393</v>
      </c>
      <c r="C710" t="str">
        <f>"21206"</f>
        <v>21206</v>
      </c>
      <c r="D710" t="str">
        <f t="shared" si="51"/>
        <v xml:space="preserve">1623 </v>
      </c>
      <c r="E710" t="str">
        <f>"076 "</f>
        <v xml:space="preserve">076 </v>
      </c>
      <c r="F710" t="s">
        <v>1394</v>
      </c>
      <c r="G710" s="1">
        <v>2000</v>
      </c>
      <c r="H710" t="s">
        <v>33</v>
      </c>
      <c r="I710" t="s">
        <v>15</v>
      </c>
      <c r="J710" s="1">
        <v>237083.87</v>
      </c>
    </row>
    <row r="711" spans="1:10" x14ac:dyDescent="0.25">
      <c r="A711" t="str">
        <f t="shared" si="52"/>
        <v>07/20/20</v>
      </c>
      <c r="B711" t="s">
        <v>1395</v>
      </c>
      <c r="C711" t="str">
        <f>"21205"</f>
        <v>21205</v>
      </c>
      <c r="D711" t="str">
        <f t="shared" si="51"/>
        <v xml:space="preserve">1623 </v>
      </c>
      <c r="E711" t="str">
        <f>"072 "</f>
        <v xml:space="preserve">072 </v>
      </c>
      <c r="F711" t="s">
        <v>1394</v>
      </c>
      <c r="G711" s="1">
        <v>2000</v>
      </c>
      <c r="H711" t="s">
        <v>33</v>
      </c>
      <c r="I711" t="s">
        <v>15</v>
      </c>
      <c r="J711" s="1">
        <v>183588.9</v>
      </c>
    </row>
    <row r="712" spans="1:10" x14ac:dyDescent="0.25">
      <c r="A712" t="str">
        <f t="shared" si="52"/>
        <v>07/20/20</v>
      </c>
      <c r="B712" t="s">
        <v>1396</v>
      </c>
      <c r="C712" t="str">
        <f>"21205"</f>
        <v>21205</v>
      </c>
      <c r="D712" t="str">
        <f t="shared" si="51"/>
        <v xml:space="preserve">1623 </v>
      </c>
      <c r="E712" t="str">
        <f>"077 "</f>
        <v xml:space="preserve">077 </v>
      </c>
      <c r="F712" t="s">
        <v>1388</v>
      </c>
      <c r="G712" s="1">
        <v>2000</v>
      </c>
      <c r="H712" t="s">
        <v>33</v>
      </c>
      <c r="I712" t="s">
        <v>15</v>
      </c>
      <c r="J712" s="1">
        <v>196177.06</v>
      </c>
    </row>
    <row r="713" spans="1:10" x14ac:dyDescent="0.25">
      <c r="A713" t="str">
        <f t="shared" si="52"/>
        <v>07/20/20</v>
      </c>
      <c r="B713" t="s">
        <v>1397</v>
      </c>
      <c r="C713" t="str">
        <f>"21223"</f>
        <v>21223</v>
      </c>
      <c r="D713" t="str">
        <f>"2145A"</f>
        <v>2145A</v>
      </c>
      <c r="E713" t="str">
        <f>"033 "</f>
        <v xml:space="preserve">033 </v>
      </c>
      <c r="F713" t="s">
        <v>1398</v>
      </c>
      <c r="G713" s="1">
        <v>29000</v>
      </c>
      <c r="H713" t="s">
        <v>33</v>
      </c>
      <c r="I713" t="s">
        <v>15</v>
      </c>
      <c r="J713" s="1">
        <v>12681.46</v>
      </c>
    </row>
    <row r="714" spans="1:10" x14ac:dyDescent="0.25">
      <c r="A714" t="str">
        <f t="shared" si="52"/>
        <v>07/20/20</v>
      </c>
      <c r="B714" t="s">
        <v>1399</v>
      </c>
      <c r="C714" t="str">
        <f>"21223"</f>
        <v>21223</v>
      </c>
      <c r="D714" t="str">
        <f>"2110 "</f>
        <v xml:space="preserve">2110 </v>
      </c>
      <c r="E714" t="str">
        <f>"002 "</f>
        <v xml:space="preserve">002 </v>
      </c>
      <c r="F714" t="s">
        <v>1400</v>
      </c>
      <c r="G714" s="1">
        <v>5000</v>
      </c>
      <c r="H714" t="s">
        <v>33</v>
      </c>
      <c r="I714" t="s">
        <v>34</v>
      </c>
      <c r="J714" s="1">
        <v>5863.41</v>
      </c>
    </row>
    <row r="715" spans="1:10" x14ac:dyDescent="0.25">
      <c r="A715" t="str">
        <f t="shared" si="52"/>
        <v>07/20/20</v>
      </c>
      <c r="B715" t="s">
        <v>1401</v>
      </c>
      <c r="C715" t="str">
        <f>"21205"</f>
        <v>21205</v>
      </c>
      <c r="D715" t="str">
        <f>"1573 "</f>
        <v xml:space="preserve">1573 </v>
      </c>
      <c r="E715" t="str">
        <f>"001 "</f>
        <v xml:space="preserve">001 </v>
      </c>
      <c r="F715" t="s">
        <v>1402</v>
      </c>
      <c r="G715" s="1">
        <v>19700</v>
      </c>
      <c r="H715" t="s">
        <v>33</v>
      </c>
      <c r="I715" t="s">
        <v>15</v>
      </c>
      <c r="J715" s="1">
        <v>103165.89</v>
      </c>
    </row>
    <row r="716" spans="1:10" x14ac:dyDescent="0.25">
      <c r="A716" t="str">
        <f t="shared" si="52"/>
        <v>07/20/20</v>
      </c>
      <c r="B716" t="s">
        <v>1403</v>
      </c>
      <c r="C716" t="str">
        <f>"21224"</f>
        <v>21224</v>
      </c>
      <c r="D716" t="str">
        <f>"1672 "</f>
        <v xml:space="preserve">1672 </v>
      </c>
      <c r="E716" t="str">
        <f>"057 "</f>
        <v xml:space="preserve">057 </v>
      </c>
      <c r="F716" t="s">
        <v>1404</v>
      </c>
      <c r="G716" s="1">
        <v>2100</v>
      </c>
      <c r="H716" t="s">
        <v>33</v>
      </c>
      <c r="I716" t="s">
        <v>15</v>
      </c>
      <c r="J716" s="1">
        <v>264550.52</v>
      </c>
    </row>
    <row r="717" spans="1:10" x14ac:dyDescent="0.25">
      <c r="A717" t="str">
        <f t="shared" si="52"/>
        <v>07/20/20</v>
      </c>
      <c r="B717" t="s">
        <v>1405</v>
      </c>
      <c r="C717" t="str">
        <f>"21205"</f>
        <v>21205</v>
      </c>
      <c r="D717" t="str">
        <f>"1624 "</f>
        <v xml:space="preserve">1624 </v>
      </c>
      <c r="E717" t="str">
        <f>"029 "</f>
        <v xml:space="preserve">029 </v>
      </c>
      <c r="F717" t="s">
        <v>1406</v>
      </c>
      <c r="G717" s="1">
        <v>12000</v>
      </c>
      <c r="H717" t="s">
        <v>33</v>
      </c>
      <c r="I717" t="s">
        <v>34</v>
      </c>
      <c r="J717" s="1">
        <v>183291.8</v>
      </c>
    </row>
    <row r="718" spans="1:10" x14ac:dyDescent="0.25">
      <c r="A718" t="str">
        <f t="shared" si="52"/>
        <v>07/20/20</v>
      </c>
      <c r="B718" t="s">
        <v>1407</v>
      </c>
      <c r="C718" t="str">
        <f>"21213"</f>
        <v>21213</v>
      </c>
      <c r="D718" t="str">
        <f>"1555 "</f>
        <v xml:space="preserve">1555 </v>
      </c>
      <c r="E718" t="str">
        <f>"006 "</f>
        <v xml:space="preserve">006 </v>
      </c>
      <c r="F718" t="s">
        <v>1408</v>
      </c>
      <c r="G718" s="1">
        <v>1000</v>
      </c>
      <c r="H718" t="s">
        <v>33</v>
      </c>
      <c r="I718" t="s">
        <v>15</v>
      </c>
      <c r="J718" s="1">
        <v>79455.83</v>
      </c>
    </row>
    <row r="719" spans="1:10" x14ac:dyDescent="0.25">
      <c r="A719" t="str">
        <f t="shared" si="52"/>
        <v>07/20/20</v>
      </c>
      <c r="B719" t="s">
        <v>1409</v>
      </c>
      <c r="C719" t="str">
        <f>"21213"</f>
        <v>21213</v>
      </c>
      <c r="D719" t="str">
        <f>"1555 "</f>
        <v xml:space="preserve">1555 </v>
      </c>
      <c r="E719" t="str">
        <f>"003 "</f>
        <v xml:space="preserve">003 </v>
      </c>
      <c r="F719" t="s">
        <v>1410</v>
      </c>
      <c r="G719" s="1">
        <v>1000</v>
      </c>
      <c r="H719" t="s">
        <v>33</v>
      </c>
      <c r="I719" t="s">
        <v>15</v>
      </c>
      <c r="J719" s="1">
        <v>4173.74</v>
      </c>
    </row>
    <row r="720" spans="1:10" x14ac:dyDescent="0.25">
      <c r="A720" t="str">
        <f t="shared" si="52"/>
        <v>07/20/20</v>
      </c>
      <c r="B720" t="s">
        <v>1411</v>
      </c>
      <c r="C720" t="str">
        <f>"21213"</f>
        <v>21213</v>
      </c>
      <c r="D720" t="str">
        <f>"1455 "</f>
        <v xml:space="preserve">1455 </v>
      </c>
      <c r="E720" t="str">
        <f>"045 "</f>
        <v xml:space="preserve">045 </v>
      </c>
      <c r="F720" t="s">
        <v>1412</v>
      </c>
      <c r="G720" s="1">
        <v>10200</v>
      </c>
      <c r="H720" t="s">
        <v>33</v>
      </c>
      <c r="I720" t="s">
        <v>34</v>
      </c>
      <c r="J720" s="1">
        <v>16004.98</v>
      </c>
    </row>
    <row r="721" spans="1:10" x14ac:dyDescent="0.25">
      <c r="A721" t="str">
        <f t="shared" si="52"/>
        <v>07/20/20</v>
      </c>
      <c r="B721" t="s">
        <v>1413</v>
      </c>
      <c r="C721" t="str">
        <f>"21213"</f>
        <v>21213</v>
      </c>
      <c r="D721" t="str">
        <f>"1455 "</f>
        <v xml:space="preserve">1455 </v>
      </c>
      <c r="E721" t="str">
        <f>"053 "</f>
        <v xml:space="preserve">053 </v>
      </c>
      <c r="F721" t="s">
        <v>1414</v>
      </c>
      <c r="G721" s="1">
        <v>23000</v>
      </c>
      <c r="H721" t="s">
        <v>33</v>
      </c>
      <c r="I721" t="s">
        <v>15</v>
      </c>
      <c r="J721" s="1">
        <v>7300.58</v>
      </c>
    </row>
    <row r="722" spans="1:10" x14ac:dyDescent="0.25">
      <c r="A722" t="str">
        <f t="shared" si="52"/>
        <v>07/20/20</v>
      </c>
      <c r="B722" t="s">
        <v>1415</v>
      </c>
      <c r="C722" t="str">
        <f>"21213"</f>
        <v>21213</v>
      </c>
      <c r="D722" t="str">
        <f>"1455 "</f>
        <v xml:space="preserve">1455 </v>
      </c>
      <c r="E722" t="str">
        <f>"036 "</f>
        <v xml:space="preserve">036 </v>
      </c>
      <c r="F722" t="s">
        <v>1416</v>
      </c>
      <c r="G722" s="1">
        <v>10200</v>
      </c>
      <c r="H722" t="s">
        <v>33</v>
      </c>
      <c r="I722" t="s">
        <v>34</v>
      </c>
      <c r="J722" s="1">
        <v>6745.66</v>
      </c>
    </row>
    <row r="723" spans="1:10" x14ac:dyDescent="0.25">
      <c r="A723" t="str">
        <f t="shared" si="52"/>
        <v>07/20/20</v>
      </c>
      <c r="B723" t="s">
        <v>1417</v>
      </c>
      <c r="C723" t="str">
        <f>"21229"</f>
        <v>21229</v>
      </c>
      <c r="D723" t="str">
        <f>"2251 "</f>
        <v xml:space="preserve">2251 </v>
      </c>
      <c r="E723" t="str">
        <f>"024 "</f>
        <v xml:space="preserve">024 </v>
      </c>
      <c r="F723" t="s">
        <v>1418</v>
      </c>
      <c r="G723" s="1">
        <v>68300</v>
      </c>
      <c r="H723" t="s">
        <v>14</v>
      </c>
      <c r="I723" t="s">
        <v>15</v>
      </c>
      <c r="J723" s="1">
        <v>30524.82</v>
      </c>
    </row>
    <row r="724" spans="1:10" x14ac:dyDescent="0.25">
      <c r="A724" t="str">
        <f t="shared" si="52"/>
        <v>07/20/20</v>
      </c>
      <c r="B724" t="s">
        <v>1419</v>
      </c>
      <c r="C724" t="str">
        <f>"21229"</f>
        <v>21229</v>
      </c>
      <c r="D724" t="str">
        <f>"2249A"</f>
        <v>2249A</v>
      </c>
      <c r="E724" t="str">
        <f>"028 "</f>
        <v xml:space="preserve">028 </v>
      </c>
      <c r="F724" t="s">
        <v>1420</v>
      </c>
      <c r="G724" s="1">
        <v>3200</v>
      </c>
      <c r="H724" t="s">
        <v>14</v>
      </c>
      <c r="I724" t="s">
        <v>15</v>
      </c>
      <c r="J724" s="1">
        <v>106934.91</v>
      </c>
    </row>
    <row r="725" spans="1:10" x14ac:dyDescent="0.25">
      <c r="A725" t="str">
        <f t="shared" si="52"/>
        <v>07/20/20</v>
      </c>
      <c r="B725" t="s">
        <v>1421</v>
      </c>
      <c r="C725" t="str">
        <f>"21217"</f>
        <v>21217</v>
      </c>
      <c r="D725" t="str">
        <f>"3265C"</f>
        <v>3265C</v>
      </c>
      <c r="E725" t="str">
        <f>"030 "</f>
        <v xml:space="preserve">030 </v>
      </c>
      <c r="F725" t="s">
        <v>1422</v>
      </c>
      <c r="G725" s="1">
        <v>74200</v>
      </c>
      <c r="H725" t="s">
        <v>30</v>
      </c>
      <c r="I725" t="s">
        <v>34</v>
      </c>
      <c r="J725" s="1">
        <v>15261.02</v>
      </c>
    </row>
    <row r="726" spans="1:10" x14ac:dyDescent="0.25">
      <c r="A726" t="str">
        <f t="shared" si="52"/>
        <v>07/20/20</v>
      </c>
      <c r="B726" t="s">
        <v>1423</v>
      </c>
      <c r="C726" t="str">
        <f t="shared" ref="C726:C735" si="53">"21223"</f>
        <v>21223</v>
      </c>
      <c r="D726" t="str">
        <f>"0192 "</f>
        <v xml:space="preserve">0192 </v>
      </c>
      <c r="E726" t="str">
        <f>"023 "</f>
        <v xml:space="preserve">023 </v>
      </c>
      <c r="F726" t="s">
        <v>1424</v>
      </c>
      <c r="G726" s="1">
        <v>1000</v>
      </c>
      <c r="H726" t="s">
        <v>33</v>
      </c>
      <c r="I726" t="s">
        <v>15</v>
      </c>
      <c r="J726" s="1">
        <v>5446.03</v>
      </c>
    </row>
    <row r="727" spans="1:10" x14ac:dyDescent="0.25">
      <c r="A727" t="str">
        <f t="shared" si="52"/>
        <v>07/20/20</v>
      </c>
      <c r="B727" t="s">
        <v>1425</v>
      </c>
      <c r="C727" t="str">
        <f t="shared" si="53"/>
        <v>21223</v>
      </c>
      <c r="D727" t="str">
        <f>"0260 "</f>
        <v xml:space="preserve">0260 </v>
      </c>
      <c r="E727" t="str">
        <f>"030 "</f>
        <v xml:space="preserve">030 </v>
      </c>
      <c r="F727" t="s">
        <v>1426</v>
      </c>
      <c r="G727" s="1">
        <v>6000</v>
      </c>
      <c r="H727" t="s">
        <v>33</v>
      </c>
      <c r="I727" t="s">
        <v>34</v>
      </c>
      <c r="J727" s="1">
        <v>1565.37</v>
      </c>
    </row>
    <row r="728" spans="1:10" x14ac:dyDescent="0.25">
      <c r="A728" t="str">
        <f t="shared" si="52"/>
        <v>07/20/20</v>
      </c>
      <c r="B728" t="s">
        <v>1427</v>
      </c>
      <c r="C728" t="str">
        <f t="shared" si="53"/>
        <v>21223</v>
      </c>
      <c r="D728" t="str">
        <f>"0207 "</f>
        <v xml:space="preserve">0207 </v>
      </c>
      <c r="E728" t="str">
        <f>"053 "</f>
        <v xml:space="preserve">053 </v>
      </c>
      <c r="F728" t="s">
        <v>1428</v>
      </c>
      <c r="G728" s="1">
        <v>10200</v>
      </c>
      <c r="H728" t="s">
        <v>33</v>
      </c>
      <c r="I728" t="s">
        <v>34</v>
      </c>
      <c r="J728" s="1">
        <v>40932.879999999997</v>
      </c>
    </row>
    <row r="729" spans="1:10" x14ac:dyDescent="0.25">
      <c r="A729" t="str">
        <f t="shared" si="52"/>
        <v>07/20/20</v>
      </c>
      <c r="B729" t="s">
        <v>1429</v>
      </c>
      <c r="C729" t="str">
        <f t="shared" si="53"/>
        <v>21223</v>
      </c>
      <c r="D729" t="str">
        <f>"0275 "</f>
        <v xml:space="preserve">0275 </v>
      </c>
      <c r="E729" t="str">
        <f>"066 "</f>
        <v xml:space="preserve">066 </v>
      </c>
      <c r="F729" t="s">
        <v>1430</v>
      </c>
      <c r="G729" s="1">
        <v>6000</v>
      </c>
      <c r="H729" t="s">
        <v>1431</v>
      </c>
      <c r="I729" t="s">
        <v>34</v>
      </c>
      <c r="J729" s="1">
        <v>29945.85</v>
      </c>
    </row>
    <row r="730" spans="1:10" x14ac:dyDescent="0.25">
      <c r="A730" t="str">
        <f t="shared" si="52"/>
        <v>07/20/20</v>
      </c>
      <c r="B730" t="s">
        <v>1432</v>
      </c>
      <c r="C730" t="str">
        <f t="shared" si="53"/>
        <v>21223</v>
      </c>
      <c r="D730" t="str">
        <f>"0275 "</f>
        <v xml:space="preserve">0275 </v>
      </c>
      <c r="E730" t="str">
        <f>"049 "</f>
        <v xml:space="preserve">049 </v>
      </c>
      <c r="F730" t="s">
        <v>1433</v>
      </c>
      <c r="G730" s="1">
        <v>23000</v>
      </c>
      <c r="H730" t="s">
        <v>1431</v>
      </c>
      <c r="I730" t="s">
        <v>15</v>
      </c>
      <c r="J730" s="1">
        <v>43681.09</v>
      </c>
    </row>
    <row r="731" spans="1:10" x14ac:dyDescent="0.25">
      <c r="A731" t="str">
        <f t="shared" si="52"/>
        <v>07/20/20</v>
      </c>
      <c r="B731" t="s">
        <v>1434</v>
      </c>
      <c r="C731" t="str">
        <f t="shared" si="53"/>
        <v>21223</v>
      </c>
      <c r="D731" t="str">
        <f>"0192 "</f>
        <v xml:space="preserve">0192 </v>
      </c>
      <c r="E731" t="str">
        <f>"024 "</f>
        <v xml:space="preserve">024 </v>
      </c>
      <c r="F731" t="s">
        <v>1435</v>
      </c>
      <c r="G731" s="1">
        <v>1000</v>
      </c>
      <c r="H731" t="s">
        <v>33</v>
      </c>
      <c r="I731" t="s">
        <v>15</v>
      </c>
      <c r="J731" s="1">
        <v>57106.31</v>
      </c>
    </row>
    <row r="732" spans="1:10" x14ac:dyDescent="0.25">
      <c r="A732" t="str">
        <f t="shared" si="52"/>
        <v>07/20/20</v>
      </c>
      <c r="B732" t="s">
        <v>1436</v>
      </c>
      <c r="C732" t="str">
        <f t="shared" si="53"/>
        <v>21223</v>
      </c>
      <c r="D732" t="str">
        <f>"0275 "</f>
        <v xml:space="preserve">0275 </v>
      </c>
      <c r="E732" t="str">
        <f>"044 "</f>
        <v xml:space="preserve">044 </v>
      </c>
      <c r="F732" t="s">
        <v>1437</v>
      </c>
      <c r="G732" s="1">
        <v>5300</v>
      </c>
      <c r="H732" t="s">
        <v>1431</v>
      </c>
      <c r="I732" t="s">
        <v>15</v>
      </c>
      <c r="J732" s="1">
        <v>10778.92</v>
      </c>
    </row>
    <row r="733" spans="1:10" x14ac:dyDescent="0.25">
      <c r="A733" t="str">
        <f t="shared" si="52"/>
        <v>07/20/20</v>
      </c>
      <c r="B733" t="s">
        <v>1438</v>
      </c>
      <c r="C733" t="str">
        <f t="shared" si="53"/>
        <v>21223</v>
      </c>
      <c r="D733" t="str">
        <f>"0192 "</f>
        <v xml:space="preserve">0192 </v>
      </c>
      <c r="E733" t="str">
        <f>"027 "</f>
        <v xml:space="preserve">027 </v>
      </c>
      <c r="F733" t="s">
        <v>1439</v>
      </c>
      <c r="G733" s="1">
        <v>1000</v>
      </c>
      <c r="H733" t="s">
        <v>33</v>
      </c>
      <c r="I733" t="s">
        <v>15</v>
      </c>
      <c r="J733" s="1">
        <v>53920.23</v>
      </c>
    </row>
    <row r="734" spans="1:10" x14ac:dyDescent="0.25">
      <c r="A734" t="str">
        <f t="shared" si="52"/>
        <v>07/20/20</v>
      </c>
      <c r="B734" t="s">
        <v>1440</v>
      </c>
      <c r="C734" t="str">
        <f t="shared" si="53"/>
        <v>21223</v>
      </c>
      <c r="D734" t="str">
        <f>"0275 "</f>
        <v xml:space="preserve">0275 </v>
      </c>
      <c r="E734" t="str">
        <f>"067 "</f>
        <v xml:space="preserve">067 </v>
      </c>
      <c r="F734" t="s">
        <v>1441</v>
      </c>
      <c r="G734" s="1">
        <v>6000</v>
      </c>
      <c r="H734" t="s">
        <v>1431</v>
      </c>
      <c r="I734" t="s">
        <v>34</v>
      </c>
      <c r="J734" s="1">
        <v>3912.06</v>
      </c>
    </row>
    <row r="735" spans="1:10" x14ac:dyDescent="0.25">
      <c r="A735" t="str">
        <f t="shared" si="52"/>
        <v>07/20/20</v>
      </c>
      <c r="B735" t="s">
        <v>1442</v>
      </c>
      <c r="C735" t="str">
        <f t="shared" si="53"/>
        <v>21223</v>
      </c>
      <c r="D735" t="str">
        <f>"0242 "</f>
        <v xml:space="preserve">0242 </v>
      </c>
      <c r="E735" t="str">
        <f>"075 "</f>
        <v xml:space="preserve">075 </v>
      </c>
      <c r="F735" t="s">
        <v>1443</v>
      </c>
      <c r="G735" s="1">
        <v>15000</v>
      </c>
      <c r="H735" t="s">
        <v>1431</v>
      </c>
      <c r="I735" t="s">
        <v>34</v>
      </c>
      <c r="J735" s="1">
        <v>22266.99</v>
      </c>
    </row>
    <row r="736" spans="1:10" x14ac:dyDescent="0.25">
      <c r="A736" t="str">
        <f t="shared" si="52"/>
        <v>07/20/20</v>
      </c>
      <c r="B736" t="s">
        <v>1444</v>
      </c>
      <c r="C736" t="str">
        <f t="shared" ref="C736:C752" si="54">"21217"</f>
        <v>21217</v>
      </c>
      <c r="D736" t="str">
        <f>"0107 "</f>
        <v xml:space="preserve">0107 </v>
      </c>
      <c r="E736" t="str">
        <f>"003 "</f>
        <v xml:space="preserve">003 </v>
      </c>
      <c r="F736" t="s">
        <v>1445</v>
      </c>
      <c r="G736" s="1">
        <v>1000</v>
      </c>
      <c r="H736" t="s">
        <v>33</v>
      </c>
      <c r="I736" t="s">
        <v>15</v>
      </c>
      <c r="J736" s="1">
        <v>141781.97</v>
      </c>
    </row>
    <row r="737" spans="1:10" x14ac:dyDescent="0.25">
      <c r="A737" t="str">
        <f t="shared" si="52"/>
        <v>07/20/20</v>
      </c>
      <c r="B737" t="s">
        <v>1446</v>
      </c>
      <c r="C737" t="str">
        <f t="shared" si="54"/>
        <v>21217</v>
      </c>
      <c r="D737" t="str">
        <f>"0096 "</f>
        <v xml:space="preserve">0096 </v>
      </c>
      <c r="E737" t="str">
        <f>"051 "</f>
        <v xml:space="preserve">051 </v>
      </c>
      <c r="F737" t="s">
        <v>1447</v>
      </c>
      <c r="G737" s="1">
        <v>6000</v>
      </c>
      <c r="H737" t="s">
        <v>33</v>
      </c>
      <c r="I737" t="s">
        <v>34</v>
      </c>
      <c r="J737" s="1">
        <v>51400.19</v>
      </c>
    </row>
    <row r="738" spans="1:10" x14ac:dyDescent="0.25">
      <c r="A738" t="str">
        <f t="shared" si="52"/>
        <v>07/20/20</v>
      </c>
      <c r="B738" t="s">
        <v>1448</v>
      </c>
      <c r="C738" t="str">
        <f t="shared" si="54"/>
        <v>21217</v>
      </c>
      <c r="D738" t="str">
        <f>"0107 "</f>
        <v xml:space="preserve">0107 </v>
      </c>
      <c r="E738" t="str">
        <f>"004 "</f>
        <v xml:space="preserve">004 </v>
      </c>
      <c r="F738" t="s">
        <v>1449</v>
      </c>
      <c r="G738" s="1">
        <v>1000</v>
      </c>
      <c r="H738" t="s">
        <v>33</v>
      </c>
      <c r="I738" t="s">
        <v>15</v>
      </c>
      <c r="J738" s="1">
        <v>18207.169999999998</v>
      </c>
    </row>
    <row r="739" spans="1:10" x14ac:dyDescent="0.25">
      <c r="A739" t="str">
        <f t="shared" si="52"/>
        <v>07/20/20</v>
      </c>
      <c r="B739" t="s">
        <v>1450</v>
      </c>
      <c r="C739" t="str">
        <f t="shared" si="54"/>
        <v>21217</v>
      </c>
      <c r="D739" t="str">
        <f>"0107 "</f>
        <v xml:space="preserve">0107 </v>
      </c>
      <c r="E739" t="str">
        <f>"009 "</f>
        <v xml:space="preserve">009 </v>
      </c>
      <c r="F739" t="s">
        <v>1451</v>
      </c>
      <c r="G739" s="1">
        <v>1000</v>
      </c>
      <c r="H739" t="s">
        <v>33</v>
      </c>
      <c r="I739" t="s">
        <v>15</v>
      </c>
      <c r="J739" s="1">
        <v>147683.14000000001</v>
      </c>
    </row>
    <row r="740" spans="1:10" x14ac:dyDescent="0.25">
      <c r="A740" t="str">
        <f t="shared" si="52"/>
        <v>07/20/20</v>
      </c>
      <c r="B740" t="s">
        <v>1452</v>
      </c>
      <c r="C740" t="str">
        <f t="shared" si="54"/>
        <v>21217</v>
      </c>
      <c r="D740" t="str">
        <f>"0095 "</f>
        <v xml:space="preserve">0095 </v>
      </c>
      <c r="E740" t="str">
        <f>"002 "</f>
        <v xml:space="preserve">002 </v>
      </c>
      <c r="F740" t="s">
        <v>1453</v>
      </c>
      <c r="G740" s="1">
        <v>5000</v>
      </c>
      <c r="H740" t="s">
        <v>33</v>
      </c>
      <c r="I740" t="s">
        <v>34</v>
      </c>
      <c r="J740" s="1">
        <v>47528.08</v>
      </c>
    </row>
    <row r="741" spans="1:10" x14ac:dyDescent="0.25">
      <c r="A741" t="str">
        <f t="shared" si="52"/>
        <v>07/20/20</v>
      </c>
      <c r="B741" t="s">
        <v>1454</v>
      </c>
      <c r="C741" t="str">
        <f t="shared" si="54"/>
        <v>21217</v>
      </c>
      <c r="D741" t="str">
        <f>"0049 "</f>
        <v xml:space="preserve">0049 </v>
      </c>
      <c r="E741" t="str">
        <f>"009 "</f>
        <v xml:space="preserve">009 </v>
      </c>
      <c r="F741" t="s">
        <v>1455</v>
      </c>
      <c r="G741" s="1">
        <v>15000</v>
      </c>
      <c r="H741" t="s">
        <v>33</v>
      </c>
      <c r="I741" t="s">
        <v>34</v>
      </c>
      <c r="J741" s="1">
        <v>10226.6</v>
      </c>
    </row>
    <row r="742" spans="1:10" x14ac:dyDescent="0.25">
      <c r="A742" t="str">
        <f t="shared" si="52"/>
        <v>07/20/20</v>
      </c>
      <c r="B742" t="s">
        <v>1456</v>
      </c>
      <c r="C742" t="str">
        <f t="shared" si="54"/>
        <v>21217</v>
      </c>
      <c r="D742" t="str">
        <f>"0049 "</f>
        <v xml:space="preserve">0049 </v>
      </c>
      <c r="E742" t="str">
        <f>"003 "</f>
        <v xml:space="preserve">003 </v>
      </c>
      <c r="F742" t="s">
        <v>1457</v>
      </c>
      <c r="G742" s="1">
        <v>1000</v>
      </c>
      <c r="H742" t="s">
        <v>33</v>
      </c>
      <c r="I742" t="s">
        <v>15</v>
      </c>
      <c r="J742" s="1">
        <v>12262.69</v>
      </c>
    </row>
    <row r="743" spans="1:10" x14ac:dyDescent="0.25">
      <c r="A743" t="str">
        <f t="shared" si="52"/>
        <v>07/20/20</v>
      </c>
      <c r="B743" t="s">
        <v>1458</v>
      </c>
      <c r="C743" t="str">
        <f t="shared" si="54"/>
        <v>21217</v>
      </c>
      <c r="D743" t="str">
        <f>"0007 "</f>
        <v xml:space="preserve">0007 </v>
      </c>
      <c r="E743" t="str">
        <f>"003 "</f>
        <v xml:space="preserve">003 </v>
      </c>
      <c r="F743" t="s">
        <v>1459</v>
      </c>
      <c r="G743" s="1">
        <v>6000</v>
      </c>
      <c r="H743" t="s">
        <v>30</v>
      </c>
      <c r="I743" t="s">
        <v>34</v>
      </c>
      <c r="J743" s="1">
        <v>841.96</v>
      </c>
    </row>
    <row r="744" spans="1:10" x14ac:dyDescent="0.25">
      <c r="A744" t="str">
        <f t="shared" si="52"/>
        <v>07/20/20</v>
      </c>
      <c r="B744" t="s">
        <v>1460</v>
      </c>
      <c r="C744" t="str">
        <f t="shared" si="54"/>
        <v>21217</v>
      </c>
      <c r="D744" t="str">
        <f>"0003 "</f>
        <v xml:space="preserve">0003 </v>
      </c>
      <c r="E744" t="str">
        <f>"044 "</f>
        <v xml:space="preserve">044 </v>
      </c>
      <c r="F744" t="s">
        <v>1461</v>
      </c>
      <c r="G744" s="1">
        <v>6000</v>
      </c>
      <c r="H744" t="s">
        <v>30</v>
      </c>
      <c r="I744" t="s">
        <v>34</v>
      </c>
      <c r="J744" s="1">
        <v>976.81</v>
      </c>
    </row>
    <row r="745" spans="1:10" x14ac:dyDescent="0.25">
      <c r="A745" t="str">
        <f t="shared" si="52"/>
        <v>07/20/20</v>
      </c>
      <c r="B745" t="s">
        <v>1462</v>
      </c>
      <c r="C745" t="str">
        <f t="shared" si="54"/>
        <v>21217</v>
      </c>
      <c r="D745" t="str">
        <f>"0019 "</f>
        <v xml:space="preserve">0019 </v>
      </c>
      <c r="E745" t="str">
        <f>"068C"</f>
        <v>068C</v>
      </c>
      <c r="F745" t="s">
        <v>1463</v>
      </c>
      <c r="G745" s="1">
        <v>4000</v>
      </c>
      <c r="H745" t="s">
        <v>33</v>
      </c>
      <c r="I745" t="s">
        <v>34</v>
      </c>
      <c r="J745" s="1">
        <v>12517.33</v>
      </c>
    </row>
    <row r="746" spans="1:10" x14ac:dyDescent="0.25">
      <c r="A746" t="str">
        <f t="shared" si="52"/>
        <v>07/20/20</v>
      </c>
      <c r="B746" t="s">
        <v>1464</v>
      </c>
      <c r="C746" t="str">
        <f t="shared" si="54"/>
        <v>21217</v>
      </c>
      <c r="D746" t="str">
        <f>"0019 "</f>
        <v xml:space="preserve">0019 </v>
      </c>
      <c r="E746" t="str">
        <f>"068A"</f>
        <v>068A</v>
      </c>
      <c r="F746" t="s">
        <v>1465</v>
      </c>
      <c r="G746" s="1">
        <v>14100</v>
      </c>
      <c r="H746" t="s">
        <v>33</v>
      </c>
      <c r="I746" t="s">
        <v>34</v>
      </c>
      <c r="J746" s="1">
        <v>15367.96</v>
      </c>
    </row>
    <row r="747" spans="1:10" x14ac:dyDescent="0.25">
      <c r="A747" t="str">
        <f t="shared" si="52"/>
        <v>07/20/20</v>
      </c>
      <c r="B747" t="s">
        <v>1466</v>
      </c>
      <c r="C747" t="str">
        <f t="shared" si="54"/>
        <v>21217</v>
      </c>
      <c r="D747" t="str">
        <f>"0019 "</f>
        <v xml:space="preserve">0019 </v>
      </c>
      <c r="E747" t="str">
        <f>"068 "</f>
        <v xml:space="preserve">068 </v>
      </c>
      <c r="F747" t="s">
        <v>1467</v>
      </c>
      <c r="G747" s="1">
        <v>4000</v>
      </c>
      <c r="H747" t="s">
        <v>33</v>
      </c>
      <c r="I747" t="s">
        <v>34</v>
      </c>
      <c r="J747" s="1">
        <v>4908.1400000000003</v>
      </c>
    </row>
    <row r="748" spans="1:10" x14ac:dyDescent="0.25">
      <c r="A748" t="str">
        <f t="shared" si="52"/>
        <v>07/20/20</v>
      </c>
      <c r="B748" t="s">
        <v>1468</v>
      </c>
      <c r="C748" t="str">
        <f t="shared" si="54"/>
        <v>21217</v>
      </c>
      <c r="D748" t="str">
        <f>"0049 "</f>
        <v xml:space="preserve">0049 </v>
      </c>
      <c r="E748" t="str">
        <f>"021 "</f>
        <v xml:space="preserve">021 </v>
      </c>
      <c r="F748" t="s">
        <v>1469</v>
      </c>
      <c r="G748" s="1">
        <v>1000</v>
      </c>
      <c r="H748" t="s">
        <v>33</v>
      </c>
      <c r="I748" t="s">
        <v>34</v>
      </c>
      <c r="J748" s="1">
        <v>25765.73</v>
      </c>
    </row>
    <row r="749" spans="1:10" x14ac:dyDescent="0.25">
      <c r="A749" t="str">
        <f t="shared" si="52"/>
        <v>07/20/20</v>
      </c>
      <c r="B749" t="s">
        <v>1470</v>
      </c>
      <c r="C749" t="str">
        <f t="shared" si="54"/>
        <v>21217</v>
      </c>
      <c r="D749" t="str">
        <f>"0049 "</f>
        <v xml:space="preserve">0049 </v>
      </c>
      <c r="E749" t="str">
        <f>"018 "</f>
        <v xml:space="preserve">018 </v>
      </c>
      <c r="F749" t="s">
        <v>1471</v>
      </c>
      <c r="G749" s="1">
        <v>5000</v>
      </c>
      <c r="H749" t="s">
        <v>33</v>
      </c>
      <c r="I749" t="s">
        <v>15</v>
      </c>
      <c r="J749" s="1">
        <v>12255.01</v>
      </c>
    </row>
    <row r="750" spans="1:10" x14ac:dyDescent="0.25">
      <c r="A750" t="str">
        <f t="shared" si="52"/>
        <v>07/20/20</v>
      </c>
      <c r="B750" t="s">
        <v>1472</v>
      </c>
      <c r="C750" t="str">
        <f t="shared" si="54"/>
        <v>21217</v>
      </c>
      <c r="D750" t="str">
        <f>"0049 "</f>
        <v xml:space="preserve">0049 </v>
      </c>
      <c r="E750" t="str">
        <f>"017 "</f>
        <v xml:space="preserve">017 </v>
      </c>
      <c r="F750" t="s">
        <v>1473</v>
      </c>
      <c r="G750" s="1">
        <v>5000</v>
      </c>
      <c r="H750" t="s">
        <v>33</v>
      </c>
      <c r="I750" t="s">
        <v>34</v>
      </c>
      <c r="J750" s="1">
        <v>6173.04</v>
      </c>
    </row>
    <row r="751" spans="1:10" x14ac:dyDescent="0.25">
      <c r="A751" t="str">
        <f t="shared" si="52"/>
        <v>07/20/20</v>
      </c>
      <c r="B751" t="s">
        <v>1474</v>
      </c>
      <c r="C751" t="str">
        <f t="shared" si="54"/>
        <v>21217</v>
      </c>
      <c r="D751" t="str">
        <f>"0031 "</f>
        <v xml:space="preserve">0031 </v>
      </c>
      <c r="E751" t="str">
        <f>"047 "</f>
        <v xml:space="preserve">047 </v>
      </c>
      <c r="F751" t="s">
        <v>1475</v>
      </c>
      <c r="G751" s="1">
        <v>1000</v>
      </c>
      <c r="H751" t="s">
        <v>33</v>
      </c>
      <c r="I751" t="s">
        <v>15</v>
      </c>
      <c r="J751" s="1">
        <v>9715.27</v>
      </c>
    </row>
    <row r="752" spans="1:10" x14ac:dyDescent="0.25">
      <c r="A752" t="str">
        <f t="shared" si="52"/>
        <v>07/20/20</v>
      </c>
      <c r="B752" t="s">
        <v>1476</v>
      </c>
      <c r="C752" t="str">
        <f t="shared" si="54"/>
        <v>21217</v>
      </c>
      <c r="D752" t="str">
        <f>"0031 "</f>
        <v xml:space="preserve">0031 </v>
      </c>
      <c r="E752" t="str">
        <f>"050 "</f>
        <v xml:space="preserve">050 </v>
      </c>
      <c r="F752" t="s">
        <v>1477</v>
      </c>
      <c r="G752" s="1">
        <v>2000</v>
      </c>
      <c r="H752" t="s">
        <v>33</v>
      </c>
      <c r="I752" t="s">
        <v>15</v>
      </c>
      <c r="J752" s="1">
        <v>14029.63</v>
      </c>
    </row>
    <row r="753" spans="1:10" x14ac:dyDescent="0.25">
      <c r="A753" t="str">
        <f t="shared" si="52"/>
        <v>07/20/20</v>
      </c>
      <c r="B753" t="s">
        <v>1478</v>
      </c>
      <c r="C753" t="str">
        <f>"21223"</f>
        <v>21223</v>
      </c>
      <c r="D753" t="str">
        <f>"0177 "</f>
        <v xml:space="preserve">0177 </v>
      </c>
      <c r="E753" t="str">
        <f>"069 "</f>
        <v xml:space="preserve">069 </v>
      </c>
      <c r="F753" t="s">
        <v>1479</v>
      </c>
      <c r="G753" s="1">
        <v>1000</v>
      </c>
      <c r="H753" t="s">
        <v>30</v>
      </c>
      <c r="I753" t="s">
        <v>15</v>
      </c>
      <c r="J753" s="1">
        <v>48309.68</v>
      </c>
    </row>
    <row r="754" spans="1:10" x14ac:dyDescent="0.25">
      <c r="A754" t="str">
        <f t="shared" si="52"/>
        <v>07/20/20</v>
      </c>
      <c r="B754" t="s">
        <v>1480</v>
      </c>
      <c r="C754" t="str">
        <f>"21223"</f>
        <v>21223</v>
      </c>
      <c r="D754" t="str">
        <f>"0147 "</f>
        <v xml:space="preserve">0147 </v>
      </c>
      <c r="E754" t="str">
        <f>"072 "</f>
        <v xml:space="preserve">072 </v>
      </c>
      <c r="F754" t="s">
        <v>1481</v>
      </c>
      <c r="G754" s="1">
        <v>2000</v>
      </c>
      <c r="H754" t="s">
        <v>30</v>
      </c>
      <c r="I754" t="s">
        <v>34</v>
      </c>
      <c r="J754" s="1">
        <v>39589.86</v>
      </c>
    </row>
    <row r="755" spans="1:10" x14ac:dyDescent="0.25">
      <c r="A755" t="str">
        <f t="shared" si="52"/>
        <v>07/20/20</v>
      </c>
      <c r="B755" t="s">
        <v>1482</v>
      </c>
      <c r="C755" t="str">
        <f>"21223"</f>
        <v>21223</v>
      </c>
      <c r="D755" t="str">
        <f>"0177 "</f>
        <v xml:space="preserve">0177 </v>
      </c>
      <c r="E755" t="str">
        <f>"066 "</f>
        <v xml:space="preserve">066 </v>
      </c>
      <c r="F755" t="s">
        <v>1483</v>
      </c>
      <c r="G755" s="1">
        <v>1000</v>
      </c>
      <c r="H755" t="s">
        <v>30</v>
      </c>
      <c r="I755" t="s">
        <v>15</v>
      </c>
      <c r="J755" s="1">
        <v>279657.98</v>
      </c>
    </row>
    <row r="756" spans="1:10" x14ac:dyDescent="0.25">
      <c r="A756" t="str">
        <f t="shared" si="52"/>
        <v>07/20/20</v>
      </c>
      <c r="B756" t="s">
        <v>1484</v>
      </c>
      <c r="C756" t="str">
        <f>"21223"</f>
        <v>21223</v>
      </c>
      <c r="D756" t="str">
        <f>"0120 "</f>
        <v xml:space="preserve">0120 </v>
      </c>
      <c r="E756" t="str">
        <f>"051 "</f>
        <v xml:space="preserve">051 </v>
      </c>
      <c r="F756" t="s">
        <v>1485</v>
      </c>
      <c r="G756" s="1">
        <v>17000</v>
      </c>
      <c r="H756" t="s">
        <v>33</v>
      </c>
      <c r="I756" t="s">
        <v>34</v>
      </c>
      <c r="J756" s="1">
        <v>7135.96</v>
      </c>
    </row>
    <row r="757" spans="1:10" x14ac:dyDescent="0.25">
      <c r="A757" t="str">
        <f t="shared" si="52"/>
        <v>07/20/20</v>
      </c>
      <c r="B757" t="s">
        <v>1486</v>
      </c>
      <c r="C757" t="str">
        <f>"21223"</f>
        <v>21223</v>
      </c>
      <c r="D757" t="str">
        <f>"0163 "</f>
        <v xml:space="preserve">0163 </v>
      </c>
      <c r="E757" t="str">
        <f>"017 "</f>
        <v xml:space="preserve">017 </v>
      </c>
      <c r="F757" t="s">
        <v>1487</v>
      </c>
      <c r="G757" s="1">
        <v>2000</v>
      </c>
      <c r="H757" t="s">
        <v>33</v>
      </c>
      <c r="I757" t="s">
        <v>34</v>
      </c>
      <c r="J757" s="1">
        <v>1762.78</v>
      </c>
    </row>
    <row r="758" spans="1:10" x14ac:dyDescent="0.25">
      <c r="A758" t="str">
        <f t="shared" si="52"/>
        <v>07/20/20</v>
      </c>
      <c r="B758" t="s">
        <v>1488</v>
      </c>
      <c r="C758" t="str">
        <f>"21205"</f>
        <v>21205</v>
      </c>
      <c r="D758" t="str">
        <f>"1623 "</f>
        <v xml:space="preserve">1623 </v>
      </c>
      <c r="E758" t="str">
        <f>"004 "</f>
        <v xml:space="preserve">004 </v>
      </c>
      <c r="F758" t="s">
        <v>1489</v>
      </c>
      <c r="G758" s="1">
        <v>7000</v>
      </c>
      <c r="H758" t="s">
        <v>33</v>
      </c>
      <c r="I758" t="s">
        <v>15</v>
      </c>
      <c r="J758" s="1">
        <v>11558.77</v>
      </c>
    </row>
    <row r="759" spans="1:10" x14ac:dyDescent="0.25">
      <c r="A759" t="str">
        <f t="shared" si="52"/>
        <v>07/20/20</v>
      </c>
      <c r="B759" t="s">
        <v>1490</v>
      </c>
      <c r="C759" t="str">
        <f>"21218"</f>
        <v>21218</v>
      </c>
      <c r="D759" t="str">
        <f>"4114E"</f>
        <v>4114E</v>
      </c>
      <c r="E759" t="str">
        <f>"030 "</f>
        <v xml:space="preserve">030 </v>
      </c>
      <c r="F759" t="s">
        <v>1491</v>
      </c>
      <c r="G759" s="1">
        <v>17000</v>
      </c>
      <c r="H759" t="s">
        <v>14</v>
      </c>
      <c r="I759" t="s">
        <v>15</v>
      </c>
      <c r="J759" s="1">
        <v>4840.41</v>
      </c>
    </row>
    <row r="760" spans="1:10" x14ac:dyDescent="0.25">
      <c r="A760" t="str">
        <f t="shared" si="52"/>
        <v>07/20/20</v>
      </c>
      <c r="B760" t="s">
        <v>1492</v>
      </c>
      <c r="C760" t="str">
        <f>"21218"</f>
        <v>21218</v>
      </c>
      <c r="D760" t="str">
        <f>"4114A"</f>
        <v>4114A</v>
      </c>
      <c r="E760" t="str">
        <f>"088 "</f>
        <v xml:space="preserve">088 </v>
      </c>
      <c r="F760" t="s">
        <v>1493</v>
      </c>
      <c r="G760" s="1">
        <v>30000</v>
      </c>
      <c r="H760" t="s">
        <v>14</v>
      </c>
      <c r="I760" t="s">
        <v>15</v>
      </c>
      <c r="J760" s="1">
        <v>11616.23</v>
      </c>
    </row>
    <row r="761" spans="1:10" x14ac:dyDescent="0.25">
      <c r="A761" t="str">
        <f t="shared" si="52"/>
        <v>07/20/20</v>
      </c>
      <c r="B761" t="s">
        <v>1494</v>
      </c>
      <c r="C761" t="str">
        <f>"21218"</f>
        <v>21218</v>
      </c>
      <c r="D761" t="str">
        <f>"4123A"</f>
        <v>4123A</v>
      </c>
      <c r="E761" t="str">
        <f>"058 "</f>
        <v xml:space="preserve">058 </v>
      </c>
      <c r="F761" t="s">
        <v>1495</v>
      </c>
      <c r="G761" s="1">
        <v>5000</v>
      </c>
      <c r="H761" t="s">
        <v>14</v>
      </c>
      <c r="I761" t="s">
        <v>15</v>
      </c>
      <c r="J761" s="1">
        <v>25228.85</v>
      </c>
    </row>
    <row r="762" spans="1:10" x14ac:dyDescent="0.25">
      <c r="A762" t="str">
        <f t="shared" si="52"/>
        <v>07/20/20</v>
      </c>
      <c r="B762" t="s">
        <v>1496</v>
      </c>
      <c r="C762" t="str">
        <f>"21218"</f>
        <v>21218</v>
      </c>
      <c r="D762" t="str">
        <f>"4123A"</f>
        <v>4123A</v>
      </c>
      <c r="E762" t="str">
        <f>"085 "</f>
        <v xml:space="preserve">085 </v>
      </c>
      <c r="F762" t="s">
        <v>1497</v>
      </c>
      <c r="G762" s="1">
        <v>1000</v>
      </c>
      <c r="H762" t="s">
        <v>14</v>
      </c>
      <c r="I762" t="s">
        <v>15</v>
      </c>
      <c r="J762" s="1">
        <v>90319.679999999993</v>
      </c>
    </row>
    <row r="763" spans="1:10" x14ac:dyDescent="0.25">
      <c r="A763" t="str">
        <f t="shared" si="52"/>
        <v>07/20/20</v>
      </c>
      <c r="B763" t="s">
        <v>1498</v>
      </c>
      <c r="C763" t="str">
        <f>"21218"</f>
        <v>21218</v>
      </c>
      <c r="D763" t="str">
        <f>"4123A"</f>
        <v>4123A</v>
      </c>
      <c r="E763" t="str">
        <f>"059 "</f>
        <v xml:space="preserve">059 </v>
      </c>
      <c r="F763" t="s">
        <v>1499</v>
      </c>
      <c r="G763" s="1">
        <v>5000</v>
      </c>
      <c r="H763" t="s">
        <v>14</v>
      </c>
      <c r="I763" t="s">
        <v>15</v>
      </c>
      <c r="J763" s="1">
        <v>50893.61</v>
      </c>
    </row>
    <row r="764" spans="1:10" x14ac:dyDescent="0.25">
      <c r="A764" t="str">
        <f t="shared" si="52"/>
        <v>07/20/20</v>
      </c>
      <c r="B764" t="s">
        <v>1500</v>
      </c>
      <c r="C764" t="str">
        <f t="shared" ref="C764:C769" si="55">"21205"</f>
        <v>21205</v>
      </c>
      <c r="D764" t="str">
        <f>"1640 "</f>
        <v xml:space="preserve">1640 </v>
      </c>
      <c r="E764" t="str">
        <f>"034 "</f>
        <v xml:space="preserve">034 </v>
      </c>
      <c r="F764" t="s">
        <v>1501</v>
      </c>
      <c r="G764" s="1">
        <v>54700</v>
      </c>
      <c r="H764" t="s">
        <v>142</v>
      </c>
      <c r="I764" t="s">
        <v>15</v>
      </c>
      <c r="J764" s="1">
        <v>43605.59</v>
      </c>
    </row>
    <row r="765" spans="1:10" x14ac:dyDescent="0.25">
      <c r="A765" t="str">
        <f t="shared" si="52"/>
        <v>07/20/20</v>
      </c>
      <c r="B765" t="s">
        <v>1502</v>
      </c>
      <c r="C765" t="str">
        <f t="shared" si="55"/>
        <v>21205</v>
      </c>
      <c r="D765" t="str">
        <f>"1646 "</f>
        <v xml:space="preserve">1646 </v>
      </c>
      <c r="E765" t="str">
        <f>"015 "</f>
        <v xml:space="preserve">015 </v>
      </c>
      <c r="F765" t="s">
        <v>1503</v>
      </c>
      <c r="G765" s="1">
        <v>10200</v>
      </c>
      <c r="H765" t="s">
        <v>33</v>
      </c>
      <c r="I765" t="s">
        <v>34</v>
      </c>
      <c r="J765" s="1">
        <v>34705.65</v>
      </c>
    </row>
    <row r="766" spans="1:10" x14ac:dyDescent="0.25">
      <c r="A766" t="str">
        <f t="shared" si="52"/>
        <v>07/20/20</v>
      </c>
      <c r="B766" t="s">
        <v>1504</v>
      </c>
      <c r="C766" t="str">
        <f t="shared" si="55"/>
        <v>21205</v>
      </c>
      <c r="D766" t="str">
        <f>"1626 "</f>
        <v xml:space="preserve">1626 </v>
      </c>
      <c r="E766" t="str">
        <f>"061 "</f>
        <v xml:space="preserve">061 </v>
      </c>
      <c r="F766" t="s">
        <v>1505</v>
      </c>
      <c r="G766" s="1">
        <v>10200</v>
      </c>
      <c r="H766" t="s">
        <v>142</v>
      </c>
      <c r="I766" t="s">
        <v>34</v>
      </c>
      <c r="J766" s="1">
        <v>36850.269999999997</v>
      </c>
    </row>
    <row r="767" spans="1:10" x14ac:dyDescent="0.25">
      <c r="A767" t="str">
        <f t="shared" si="52"/>
        <v>07/20/20</v>
      </c>
      <c r="B767" t="s">
        <v>1506</v>
      </c>
      <c r="C767" t="str">
        <f t="shared" si="55"/>
        <v>21205</v>
      </c>
      <c r="D767" t="str">
        <f>"1642 "</f>
        <v xml:space="preserve">1642 </v>
      </c>
      <c r="E767" t="str">
        <f>"036 "</f>
        <v xml:space="preserve">036 </v>
      </c>
      <c r="F767" t="s">
        <v>1507</v>
      </c>
      <c r="G767" s="1">
        <v>10200</v>
      </c>
      <c r="H767" t="s">
        <v>142</v>
      </c>
      <c r="I767" t="s">
        <v>34</v>
      </c>
      <c r="J767" s="1">
        <v>34346.07</v>
      </c>
    </row>
    <row r="768" spans="1:10" x14ac:dyDescent="0.25">
      <c r="A768" t="str">
        <f t="shared" si="52"/>
        <v>07/20/20</v>
      </c>
      <c r="B768" t="s">
        <v>1508</v>
      </c>
      <c r="C768" t="str">
        <f t="shared" si="55"/>
        <v>21205</v>
      </c>
      <c r="D768" t="str">
        <f>"1623 "</f>
        <v xml:space="preserve">1623 </v>
      </c>
      <c r="E768" t="str">
        <f>"065 "</f>
        <v xml:space="preserve">065 </v>
      </c>
      <c r="F768" t="s">
        <v>1509</v>
      </c>
      <c r="G768" s="1">
        <v>92000</v>
      </c>
      <c r="H768" t="s">
        <v>142</v>
      </c>
      <c r="I768" t="s">
        <v>15</v>
      </c>
      <c r="J768" s="1">
        <v>63454.99</v>
      </c>
    </row>
    <row r="769" spans="1:10" x14ac:dyDescent="0.25">
      <c r="A769" t="str">
        <f t="shared" si="52"/>
        <v>07/20/20</v>
      </c>
      <c r="B769" t="s">
        <v>1510</v>
      </c>
      <c r="C769" t="str">
        <f t="shared" si="55"/>
        <v>21205</v>
      </c>
      <c r="D769" t="str">
        <f>"1623 "</f>
        <v xml:space="preserve">1623 </v>
      </c>
      <c r="E769" t="str">
        <f>"061 "</f>
        <v xml:space="preserve">061 </v>
      </c>
      <c r="F769" t="s">
        <v>1511</v>
      </c>
      <c r="G769" s="1">
        <v>80200</v>
      </c>
      <c r="H769" t="s">
        <v>142</v>
      </c>
      <c r="I769" t="s">
        <v>15</v>
      </c>
      <c r="J769" s="1">
        <v>27897.58</v>
      </c>
    </row>
    <row r="770" spans="1:10" x14ac:dyDescent="0.25">
      <c r="A770" t="str">
        <f t="shared" si="52"/>
        <v>07/20/20</v>
      </c>
      <c r="B770" t="s">
        <v>1512</v>
      </c>
      <c r="C770" t="str">
        <f>"21201"</f>
        <v>21201</v>
      </c>
      <c r="D770" t="str">
        <f>"0530 "</f>
        <v xml:space="preserve">0530 </v>
      </c>
      <c r="E770" t="str">
        <f>"048 "</f>
        <v xml:space="preserve">048 </v>
      </c>
      <c r="F770" t="s">
        <v>1513</v>
      </c>
      <c r="G770" s="1">
        <v>82700</v>
      </c>
      <c r="H770" t="s">
        <v>1514</v>
      </c>
      <c r="I770" t="s">
        <v>15</v>
      </c>
      <c r="J770" s="1">
        <v>32246.400000000001</v>
      </c>
    </row>
    <row r="771" spans="1:10" x14ac:dyDescent="0.25">
      <c r="A771" t="str">
        <f t="shared" ref="A771:A834" si="56">"07/20/20"</f>
        <v>07/20/20</v>
      </c>
      <c r="B771" t="s">
        <v>1515</v>
      </c>
      <c r="C771" t="str">
        <f>"21205"</f>
        <v>21205</v>
      </c>
      <c r="D771" t="str">
        <f>"6154 "</f>
        <v xml:space="preserve">6154 </v>
      </c>
      <c r="E771" t="str">
        <f>"005 "</f>
        <v xml:space="preserve">005 </v>
      </c>
      <c r="F771" t="s">
        <v>1516</v>
      </c>
      <c r="G771" s="1">
        <v>59600</v>
      </c>
      <c r="H771" t="s">
        <v>33</v>
      </c>
      <c r="I771" t="s">
        <v>15</v>
      </c>
      <c r="J771" s="1">
        <v>4051.3</v>
      </c>
    </row>
    <row r="772" spans="1:10" x14ac:dyDescent="0.25">
      <c r="A772" t="str">
        <f t="shared" si="56"/>
        <v>07/20/20</v>
      </c>
      <c r="B772" t="s">
        <v>1517</v>
      </c>
      <c r="C772" t="str">
        <f>"21216"</f>
        <v>21216</v>
      </c>
      <c r="D772" t="str">
        <f>"2307A"</f>
        <v>2307A</v>
      </c>
      <c r="E772" t="str">
        <f>"049 "</f>
        <v xml:space="preserve">049 </v>
      </c>
      <c r="F772" t="s">
        <v>1518</v>
      </c>
      <c r="G772" s="1">
        <v>42000</v>
      </c>
      <c r="H772" t="s">
        <v>30</v>
      </c>
      <c r="I772" t="s">
        <v>34</v>
      </c>
      <c r="J772" s="1">
        <v>35712.5</v>
      </c>
    </row>
    <row r="773" spans="1:10" x14ac:dyDescent="0.25">
      <c r="A773" t="str">
        <f t="shared" si="56"/>
        <v>07/20/20</v>
      </c>
      <c r="B773" t="s">
        <v>1519</v>
      </c>
      <c r="C773" t="str">
        <f>"21229"</f>
        <v>21229</v>
      </c>
      <c r="D773" t="str">
        <f>"2243C"</f>
        <v>2243C</v>
      </c>
      <c r="E773" t="str">
        <f>"004 "</f>
        <v xml:space="preserve">004 </v>
      </c>
      <c r="F773" t="s">
        <v>1520</v>
      </c>
      <c r="G773" s="1">
        <v>3600</v>
      </c>
      <c r="H773" t="s">
        <v>91</v>
      </c>
      <c r="I773" t="s">
        <v>15</v>
      </c>
      <c r="J773" s="1">
        <v>98255.19</v>
      </c>
    </row>
    <row r="774" spans="1:10" x14ac:dyDescent="0.25">
      <c r="A774" t="str">
        <f t="shared" si="56"/>
        <v>07/20/20</v>
      </c>
      <c r="B774" t="s">
        <v>1521</v>
      </c>
      <c r="C774" t="str">
        <f>"21217"</f>
        <v>21217</v>
      </c>
      <c r="D774" t="str">
        <f>"3424 "</f>
        <v xml:space="preserve">3424 </v>
      </c>
      <c r="E774" t="str">
        <f>"115 "</f>
        <v xml:space="preserve">115 </v>
      </c>
      <c r="F774" t="s">
        <v>1522</v>
      </c>
      <c r="G774" s="1">
        <v>600</v>
      </c>
      <c r="H774" t="s">
        <v>33</v>
      </c>
      <c r="I774" t="s">
        <v>15</v>
      </c>
      <c r="J774" s="1">
        <v>5595.76</v>
      </c>
    </row>
    <row r="775" spans="1:10" x14ac:dyDescent="0.25">
      <c r="A775" t="str">
        <f t="shared" si="56"/>
        <v>07/20/20</v>
      </c>
      <c r="B775" t="s">
        <v>1523</v>
      </c>
      <c r="C775" t="str">
        <f>"21216"</f>
        <v>21216</v>
      </c>
      <c r="D775" t="str">
        <f>"2470 "</f>
        <v xml:space="preserve">2470 </v>
      </c>
      <c r="E775" t="str">
        <f>"021 "</f>
        <v xml:space="preserve">021 </v>
      </c>
      <c r="F775" t="s">
        <v>1524</v>
      </c>
      <c r="G775" s="1">
        <v>13000</v>
      </c>
      <c r="H775" t="s">
        <v>14</v>
      </c>
      <c r="I775" t="s">
        <v>15</v>
      </c>
      <c r="J775" s="1">
        <v>3666.49</v>
      </c>
    </row>
    <row r="776" spans="1:10" x14ac:dyDescent="0.25">
      <c r="A776" t="str">
        <f t="shared" si="56"/>
        <v>07/20/20</v>
      </c>
      <c r="B776" t="s">
        <v>1525</v>
      </c>
      <c r="C776" t="str">
        <f>"21216"</f>
        <v>21216</v>
      </c>
      <c r="D776" t="str">
        <f>"2446B"</f>
        <v>2446B</v>
      </c>
      <c r="E776" t="str">
        <f>"040 "</f>
        <v xml:space="preserve">040 </v>
      </c>
      <c r="F776" t="s">
        <v>1526</v>
      </c>
      <c r="G776" s="1">
        <v>11000</v>
      </c>
      <c r="H776" t="s">
        <v>14</v>
      </c>
      <c r="I776" t="s">
        <v>34</v>
      </c>
      <c r="J776" s="1">
        <v>25572.32</v>
      </c>
    </row>
    <row r="777" spans="1:10" x14ac:dyDescent="0.25">
      <c r="A777" t="str">
        <f t="shared" si="56"/>
        <v>07/20/20</v>
      </c>
      <c r="B777" t="s">
        <v>1527</v>
      </c>
      <c r="C777" t="str">
        <f>"21216"</f>
        <v>21216</v>
      </c>
      <c r="D777" t="str">
        <f>"2446B"</f>
        <v>2446B</v>
      </c>
      <c r="E777" t="str">
        <f>"024 "</f>
        <v xml:space="preserve">024 </v>
      </c>
      <c r="F777" t="s">
        <v>1528</v>
      </c>
      <c r="G777" s="1">
        <v>17000</v>
      </c>
      <c r="H777" t="s">
        <v>14</v>
      </c>
      <c r="I777" t="s">
        <v>34</v>
      </c>
      <c r="J777" s="1">
        <v>15315.83</v>
      </c>
    </row>
    <row r="778" spans="1:10" x14ac:dyDescent="0.25">
      <c r="A778" t="str">
        <f t="shared" si="56"/>
        <v>07/20/20</v>
      </c>
      <c r="B778" t="s">
        <v>1529</v>
      </c>
      <c r="C778" t="str">
        <f>"21216"</f>
        <v>21216</v>
      </c>
      <c r="D778" t="str">
        <f>"2470 "</f>
        <v xml:space="preserve">2470 </v>
      </c>
      <c r="E778" t="str">
        <f>"001 "</f>
        <v xml:space="preserve">001 </v>
      </c>
      <c r="F778" t="s">
        <v>1530</v>
      </c>
      <c r="G778" s="1">
        <v>20200</v>
      </c>
      <c r="H778" t="s">
        <v>14</v>
      </c>
      <c r="I778" t="s">
        <v>34</v>
      </c>
      <c r="J778" s="1">
        <v>22134.17</v>
      </c>
    </row>
    <row r="779" spans="1:10" x14ac:dyDescent="0.25">
      <c r="A779" t="str">
        <f t="shared" si="56"/>
        <v>07/20/20</v>
      </c>
      <c r="B779" t="s">
        <v>1531</v>
      </c>
      <c r="C779" t="str">
        <f t="shared" ref="C779:C799" si="57">"21217"</f>
        <v>21217</v>
      </c>
      <c r="D779" t="str">
        <f>"0071 "</f>
        <v xml:space="preserve">0071 </v>
      </c>
      <c r="E779" t="str">
        <f>"052 "</f>
        <v xml:space="preserve">052 </v>
      </c>
      <c r="F779" t="s">
        <v>1532</v>
      </c>
      <c r="G779" s="1">
        <v>5000</v>
      </c>
      <c r="H779" t="s">
        <v>33</v>
      </c>
      <c r="I779" t="s">
        <v>34</v>
      </c>
      <c r="J779" s="1">
        <v>25478.01</v>
      </c>
    </row>
    <row r="780" spans="1:10" x14ac:dyDescent="0.25">
      <c r="A780" t="str">
        <f t="shared" si="56"/>
        <v>07/20/20</v>
      </c>
      <c r="B780" t="s">
        <v>1533</v>
      </c>
      <c r="C780" t="str">
        <f t="shared" si="57"/>
        <v>21217</v>
      </c>
      <c r="D780" t="str">
        <f>"0063 "</f>
        <v xml:space="preserve">0063 </v>
      </c>
      <c r="E780" t="str">
        <f>"011 "</f>
        <v xml:space="preserve">011 </v>
      </c>
      <c r="F780" t="s">
        <v>1534</v>
      </c>
      <c r="G780" s="1">
        <v>3000</v>
      </c>
      <c r="H780" t="s">
        <v>33</v>
      </c>
      <c r="I780" t="s">
        <v>15</v>
      </c>
      <c r="J780" s="1">
        <v>2650.48</v>
      </c>
    </row>
    <row r="781" spans="1:10" x14ac:dyDescent="0.25">
      <c r="A781" t="str">
        <f t="shared" si="56"/>
        <v>07/20/20</v>
      </c>
      <c r="B781" t="s">
        <v>1535</v>
      </c>
      <c r="C781" t="str">
        <f t="shared" si="57"/>
        <v>21217</v>
      </c>
      <c r="D781" t="str">
        <f>"0063 "</f>
        <v xml:space="preserve">0063 </v>
      </c>
      <c r="E781" t="str">
        <f>"008 "</f>
        <v xml:space="preserve">008 </v>
      </c>
      <c r="F781" t="s">
        <v>1536</v>
      </c>
      <c r="G781" s="1">
        <v>1000</v>
      </c>
      <c r="H781" t="s">
        <v>33</v>
      </c>
      <c r="I781" t="s">
        <v>15</v>
      </c>
      <c r="J781" s="1">
        <v>564.79999999999995</v>
      </c>
    </row>
    <row r="782" spans="1:10" x14ac:dyDescent="0.25">
      <c r="A782" t="str">
        <f t="shared" si="56"/>
        <v>07/20/20</v>
      </c>
      <c r="B782" t="s">
        <v>1537</v>
      </c>
      <c r="C782" t="str">
        <f t="shared" si="57"/>
        <v>21217</v>
      </c>
      <c r="D782" t="str">
        <f>"0072 "</f>
        <v xml:space="preserve">0072 </v>
      </c>
      <c r="E782" t="str">
        <f>"026 "</f>
        <v xml:space="preserve">026 </v>
      </c>
      <c r="F782" t="s">
        <v>1538</v>
      </c>
      <c r="G782" s="1">
        <v>7000</v>
      </c>
      <c r="H782" t="s">
        <v>33</v>
      </c>
      <c r="I782" t="s">
        <v>34</v>
      </c>
      <c r="J782" s="1">
        <v>296430.65000000002</v>
      </c>
    </row>
    <row r="783" spans="1:10" x14ac:dyDescent="0.25">
      <c r="A783" t="str">
        <f t="shared" si="56"/>
        <v>07/20/20</v>
      </c>
      <c r="B783" t="s">
        <v>1539</v>
      </c>
      <c r="C783" t="str">
        <f t="shared" si="57"/>
        <v>21217</v>
      </c>
      <c r="D783" t="str">
        <f>"0072 "</f>
        <v xml:space="preserve">0072 </v>
      </c>
      <c r="E783" t="str">
        <f>"028 "</f>
        <v xml:space="preserve">028 </v>
      </c>
      <c r="F783" t="s">
        <v>1540</v>
      </c>
      <c r="G783" s="1">
        <v>7000</v>
      </c>
      <c r="H783" t="s">
        <v>33</v>
      </c>
      <c r="I783" t="s">
        <v>34</v>
      </c>
      <c r="J783" s="1">
        <v>8253.43</v>
      </c>
    </row>
    <row r="784" spans="1:10" x14ac:dyDescent="0.25">
      <c r="A784" t="str">
        <f t="shared" si="56"/>
        <v>07/20/20</v>
      </c>
      <c r="B784" t="s">
        <v>1541</v>
      </c>
      <c r="C784" t="str">
        <f t="shared" si="57"/>
        <v>21217</v>
      </c>
      <c r="D784" t="str">
        <f>"0063 "</f>
        <v xml:space="preserve">0063 </v>
      </c>
      <c r="E784" t="str">
        <f>"007 "</f>
        <v xml:space="preserve">007 </v>
      </c>
      <c r="F784" t="s">
        <v>1542</v>
      </c>
      <c r="G784" s="1">
        <v>1000</v>
      </c>
      <c r="H784" t="s">
        <v>33</v>
      </c>
      <c r="I784" t="s">
        <v>15</v>
      </c>
      <c r="J784" s="1">
        <v>7318.41</v>
      </c>
    </row>
    <row r="785" spans="1:10" x14ac:dyDescent="0.25">
      <c r="A785" t="str">
        <f t="shared" si="56"/>
        <v>07/20/20</v>
      </c>
      <c r="B785" t="s">
        <v>1543</v>
      </c>
      <c r="C785" t="str">
        <f t="shared" si="57"/>
        <v>21217</v>
      </c>
      <c r="D785" t="str">
        <f>"0059 "</f>
        <v xml:space="preserve">0059 </v>
      </c>
      <c r="E785" t="str">
        <f>"061 "</f>
        <v xml:space="preserve">061 </v>
      </c>
      <c r="F785" t="s">
        <v>1544</v>
      </c>
      <c r="G785" s="1">
        <v>16200</v>
      </c>
      <c r="H785" t="s">
        <v>33</v>
      </c>
      <c r="I785" t="s">
        <v>34</v>
      </c>
      <c r="J785" s="1">
        <v>10504.88</v>
      </c>
    </row>
    <row r="786" spans="1:10" x14ac:dyDescent="0.25">
      <c r="A786" t="str">
        <f t="shared" si="56"/>
        <v>07/20/20</v>
      </c>
      <c r="B786" t="s">
        <v>1545</v>
      </c>
      <c r="C786" t="str">
        <f t="shared" si="57"/>
        <v>21217</v>
      </c>
      <c r="D786" t="str">
        <f>"0059 "</f>
        <v xml:space="preserve">0059 </v>
      </c>
      <c r="E786" t="str">
        <f>"059 "</f>
        <v xml:space="preserve">059 </v>
      </c>
      <c r="F786" t="s">
        <v>1546</v>
      </c>
      <c r="G786" s="1">
        <v>7000</v>
      </c>
      <c r="H786" t="s">
        <v>33</v>
      </c>
      <c r="I786" t="s">
        <v>34</v>
      </c>
      <c r="J786" s="1">
        <v>8785.11</v>
      </c>
    </row>
    <row r="787" spans="1:10" x14ac:dyDescent="0.25">
      <c r="A787" t="str">
        <f t="shared" si="56"/>
        <v>07/20/20</v>
      </c>
      <c r="B787" t="s">
        <v>1547</v>
      </c>
      <c r="C787" t="str">
        <f t="shared" si="57"/>
        <v>21217</v>
      </c>
      <c r="D787" t="str">
        <f>"0074 "</f>
        <v xml:space="preserve">0074 </v>
      </c>
      <c r="E787" t="str">
        <f>"013 "</f>
        <v xml:space="preserve">013 </v>
      </c>
      <c r="F787" t="s">
        <v>1548</v>
      </c>
      <c r="G787" s="1">
        <v>7000</v>
      </c>
      <c r="H787" t="s">
        <v>33</v>
      </c>
      <c r="I787" t="s">
        <v>34</v>
      </c>
      <c r="J787" s="1">
        <v>8949.14</v>
      </c>
    </row>
    <row r="788" spans="1:10" x14ac:dyDescent="0.25">
      <c r="A788" t="str">
        <f t="shared" si="56"/>
        <v>07/20/20</v>
      </c>
      <c r="B788" t="s">
        <v>1549</v>
      </c>
      <c r="C788" t="str">
        <f t="shared" si="57"/>
        <v>21217</v>
      </c>
      <c r="D788" t="str">
        <f>"0074 "</f>
        <v xml:space="preserve">0074 </v>
      </c>
      <c r="E788" t="str">
        <f>"020 "</f>
        <v xml:space="preserve">020 </v>
      </c>
      <c r="F788" t="s">
        <v>1550</v>
      </c>
      <c r="G788" s="1">
        <v>7000</v>
      </c>
      <c r="H788" t="s">
        <v>33</v>
      </c>
      <c r="I788" t="s">
        <v>15</v>
      </c>
      <c r="J788" s="1">
        <v>27568.42</v>
      </c>
    </row>
    <row r="789" spans="1:10" x14ac:dyDescent="0.25">
      <c r="A789" t="str">
        <f t="shared" si="56"/>
        <v>07/20/20</v>
      </c>
      <c r="B789" t="s">
        <v>1551</v>
      </c>
      <c r="C789" t="str">
        <f t="shared" si="57"/>
        <v>21217</v>
      </c>
      <c r="D789" t="str">
        <f>"0058 "</f>
        <v xml:space="preserve">0058 </v>
      </c>
      <c r="E789" t="str">
        <f>"013 "</f>
        <v xml:space="preserve">013 </v>
      </c>
      <c r="F789" t="s">
        <v>1552</v>
      </c>
      <c r="G789" s="1">
        <v>1000</v>
      </c>
      <c r="H789" t="s">
        <v>33</v>
      </c>
      <c r="I789" t="s">
        <v>15</v>
      </c>
      <c r="J789" s="1">
        <v>99875.07</v>
      </c>
    </row>
    <row r="790" spans="1:10" x14ac:dyDescent="0.25">
      <c r="A790" t="str">
        <f t="shared" si="56"/>
        <v>07/20/20</v>
      </c>
      <c r="B790" t="s">
        <v>1553</v>
      </c>
      <c r="C790" t="str">
        <f t="shared" si="57"/>
        <v>21217</v>
      </c>
      <c r="D790" t="str">
        <f>"0078 "</f>
        <v xml:space="preserve">0078 </v>
      </c>
      <c r="E790" t="str">
        <f>"026 "</f>
        <v xml:space="preserve">026 </v>
      </c>
      <c r="F790" t="s">
        <v>1554</v>
      </c>
      <c r="G790" s="1">
        <v>1000</v>
      </c>
      <c r="H790" t="s">
        <v>33</v>
      </c>
      <c r="I790" t="s">
        <v>15</v>
      </c>
      <c r="J790" s="1">
        <v>2346.46</v>
      </c>
    </row>
    <row r="791" spans="1:10" x14ac:dyDescent="0.25">
      <c r="A791" t="str">
        <f t="shared" si="56"/>
        <v>07/20/20</v>
      </c>
      <c r="B791" t="s">
        <v>1555</v>
      </c>
      <c r="C791" t="str">
        <f t="shared" si="57"/>
        <v>21217</v>
      </c>
      <c r="D791" t="str">
        <f>"0078 "</f>
        <v xml:space="preserve">0078 </v>
      </c>
      <c r="E791" t="str">
        <f>"028 "</f>
        <v xml:space="preserve">028 </v>
      </c>
      <c r="F791" t="s">
        <v>1556</v>
      </c>
      <c r="G791" s="1">
        <v>3000</v>
      </c>
      <c r="H791" t="s">
        <v>33</v>
      </c>
      <c r="I791" t="s">
        <v>15</v>
      </c>
      <c r="J791" s="1">
        <v>1639.82</v>
      </c>
    </row>
    <row r="792" spans="1:10" x14ac:dyDescent="0.25">
      <c r="A792" t="str">
        <f t="shared" si="56"/>
        <v>07/20/20</v>
      </c>
      <c r="B792" t="s">
        <v>1557</v>
      </c>
      <c r="C792" t="str">
        <f t="shared" si="57"/>
        <v>21217</v>
      </c>
      <c r="D792" t="str">
        <f>"0086 "</f>
        <v xml:space="preserve">0086 </v>
      </c>
      <c r="E792" t="str">
        <f>"055 "</f>
        <v xml:space="preserve">055 </v>
      </c>
      <c r="F792" t="s">
        <v>1558</v>
      </c>
      <c r="G792" s="1">
        <v>1000</v>
      </c>
      <c r="H792" t="s">
        <v>33</v>
      </c>
      <c r="I792" t="s">
        <v>15</v>
      </c>
      <c r="J792" s="1">
        <v>100328.94</v>
      </c>
    </row>
    <row r="793" spans="1:10" x14ac:dyDescent="0.25">
      <c r="A793" t="str">
        <f t="shared" si="56"/>
        <v>07/20/20</v>
      </c>
      <c r="B793" t="s">
        <v>1559</v>
      </c>
      <c r="C793" t="str">
        <f t="shared" si="57"/>
        <v>21217</v>
      </c>
      <c r="D793" t="str">
        <f>"0110 "</f>
        <v xml:space="preserve">0110 </v>
      </c>
      <c r="E793" t="str">
        <f>"040 "</f>
        <v xml:space="preserve">040 </v>
      </c>
      <c r="F793" t="s">
        <v>1560</v>
      </c>
      <c r="G793" s="1">
        <v>1000</v>
      </c>
      <c r="H793" t="s">
        <v>33</v>
      </c>
      <c r="I793" t="s">
        <v>15</v>
      </c>
      <c r="J793" s="1">
        <v>39463.26</v>
      </c>
    </row>
    <row r="794" spans="1:10" x14ac:dyDescent="0.25">
      <c r="A794" t="str">
        <f t="shared" si="56"/>
        <v>07/20/20</v>
      </c>
      <c r="B794" t="s">
        <v>1561</v>
      </c>
      <c r="C794" t="str">
        <f t="shared" si="57"/>
        <v>21217</v>
      </c>
      <c r="D794" t="str">
        <f>"0097 "</f>
        <v xml:space="preserve">0097 </v>
      </c>
      <c r="E794" t="str">
        <f>"001 "</f>
        <v xml:space="preserve">001 </v>
      </c>
      <c r="F794" t="s">
        <v>1562</v>
      </c>
      <c r="G794" s="1">
        <v>1000</v>
      </c>
      <c r="H794" t="s">
        <v>33</v>
      </c>
      <c r="I794" t="s">
        <v>15</v>
      </c>
      <c r="J794" s="1">
        <v>26028.27</v>
      </c>
    </row>
    <row r="795" spans="1:10" x14ac:dyDescent="0.25">
      <c r="A795" t="str">
        <f t="shared" si="56"/>
        <v>07/20/20</v>
      </c>
      <c r="B795" t="s">
        <v>1563</v>
      </c>
      <c r="C795" t="str">
        <f t="shared" si="57"/>
        <v>21217</v>
      </c>
      <c r="D795" t="str">
        <f>"0074 "</f>
        <v xml:space="preserve">0074 </v>
      </c>
      <c r="E795" t="str">
        <f>"008 "</f>
        <v xml:space="preserve">008 </v>
      </c>
      <c r="F795" t="s">
        <v>1548</v>
      </c>
      <c r="G795" s="1">
        <v>16200</v>
      </c>
      <c r="H795" t="s">
        <v>33</v>
      </c>
      <c r="I795" t="s">
        <v>15</v>
      </c>
      <c r="J795" s="1">
        <v>13510.21</v>
      </c>
    </row>
    <row r="796" spans="1:10" x14ac:dyDescent="0.25">
      <c r="A796" t="str">
        <f t="shared" si="56"/>
        <v>07/20/20</v>
      </c>
      <c r="B796" t="s">
        <v>1564</v>
      </c>
      <c r="C796" t="str">
        <f t="shared" si="57"/>
        <v>21217</v>
      </c>
      <c r="D796" t="str">
        <f>"0005 "</f>
        <v xml:space="preserve">0005 </v>
      </c>
      <c r="E796" t="str">
        <f>"022 "</f>
        <v xml:space="preserve">022 </v>
      </c>
      <c r="F796" t="s">
        <v>1565</v>
      </c>
      <c r="G796" s="1">
        <v>17000</v>
      </c>
      <c r="H796" t="s">
        <v>33</v>
      </c>
      <c r="I796" t="s">
        <v>15</v>
      </c>
      <c r="J796" s="1">
        <v>9079.17</v>
      </c>
    </row>
    <row r="797" spans="1:10" x14ac:dyDescent="0.25">
      <c r="A797" t="str">
        <f t="shared" si="56"/>
        <v>07/20/20</v>
      </c>
      <c r="B797" t="s">
        <v>1566</v>
      </c>
      <c r="C797" t="str">
        <f t="shared" si="57"/>
        <v>21217</v>
      </c>
      <c r="D797" t="str">
        <f>"0021 "</f>
        <v xml:space="preserve">0021 </v>
      </c>
      <c r="E797" t="str">
        <f>"012 "</f>
        <v xml:space="preserve">012 </v>
      </c>
      <c r="F797" t="s">
        <v>1567</v>
      </c>
      <c r="G797" s="1">
        <v>17000</v>
      </c>
      <c r="H797" t="s">
        <v>33</v>
      </c>
      <c r="I797" t="s">
        <v>15</v>
      </c>
      <c r="J797" s="1">
        <v>11633.96</v>
      </c>
    </row>
    <row r="798" spans="1:10" x14ac:dyDescent="0.25">
      <c r="A798" t="str">
        <f t="shared" si="56"/>
        <v>07/20/20</v>
      </c>
      <c r="B798" t="s">
        <v>1568</v>
      </c>
      <c r="C798" t="str">
        <f t="shared" si="57"/>
        <v>21217</v>
      </c>
      <c r="D798" t="str">
        <f>"0021 "</f>
        <v xml:space="preserve">0021 </v>
      </c>
      <c r="E798" t="str">
        <f>"003 "</f>
        <v xml:space="preserve">003 </v>
      </c>
      <c r="F798" t="s">
        <v>1569</v>
      </c>
      <c r="G798" s="1">
        <v>6000</v>
      </c>
      <c r="H798" t="s">
        <v>33</v>
      </c>
      <c r="I798" t="s">
        <v>34</v>
      </c>
      <c r="J798" s="1">
        <v>2717.57</v>
      </c>
    </row>
    <row r="799" spans="1:10" x14ac:dyDescent="0.25">
      <c r="A799" t="str">
        <f t="shared" si="56"/>
        <v>07/20/20</v>
      </c>
      <c r="B799" t="s">
        <v>1570</v>
      </c>
      <c r="C799" t="str">
        <f t="shared" si="57"/>
        <v>21217</v>
      </c>
      <c r="D799" t="str">
        <f>"0042 "</f>
        <v xml:space="preserve">0042 </v>
      </c>
      <c r="E799" t="str">
        <f>"063 "</f>
        <v xml:space="preserve">063 </v>
      </c>
      <c r="F799" t="s">
        <v>1571</v>
      </c>
      <c r="G799" s="1">
        <v>7000</v>
      </c>
      <c r="H799" t="s">
        <v>33</v>
      </c>
      <c r="I799" t="s">
        <v>34</v>
      </c>
      <c r="J799" s="1">
        <v>105563.59</v>
      </c>
    </row>
    <row r="800" spans="1:10" x14ac:dyDescent="0.25">
      <c r="A800" t="str">
        <f t="shared" si="56"/>
        <v>07/20/20</v>
      </c>
      <c r="B800" t="s">
        <v>1572</v>
      </c>
      <c r="C800" t="str">
        <f t="shared" ref="C800:C806" si="58">"21223"</f>
        <v>21223</v>
      </c>
      <c r="D800" t="str">
        <f>"0165 "</f>
        <v xml:space="preserve">0165 </v>
      </c>
      <c r="E800" t="str">
        <f>"041 "</f>
        <v xml:space="preserve">041 </v>
      </c>
      <c r="F800" t="s">
        <v>1573</v>
      </c>
      <c r="G800" s="1">
        <v>2800</v>
      </c>
      <c r="H800" t="s">
        <v>33</v>
      </c>
      <c r="I800" t="s">
        <v>15</v>
      </c>
      <c r="J800" s="1">
        <v>124075.44</v>
      </c>
    </row>
    <row r="801" spans="1:10" x14ac:dyDescent="0.25">
      <c r="A801" t="str">
        <f t="shared" si="56"/>
        <v>07/20/20</v>
      </c>
      <c r="B801" t="s">
        <v>1574</v>
      </c>
      <c r="C801" t="str">
        <f t="shared" si="58"/>
        <v>21223</v>
      </c>
      <c r="D801" t="str">
        <f>"0122 "</f>
        <v xml:space="preserve">0122 </v>
      </c>
      <c r="E801" t="str">
        <f>"054 "</f>
        <v xml:space="preserve">054 </v>
      </c>
      <c r="F801" t="s">
        <v>1575</v>
      </c>
      <c r="G801" s="1">
        <v>1000</v>
      </c>
      <c r="H801" t="s">
        <v>33</v>
      </c>
      <c r="I801" t="s">
        <v>15</v>
      </c>
      <c r="J801" s="1">
        <v>2693.03</v>
      </c>
    </row>
    <row r="802" spans="1:10" x14ac:dyDescent="0.25">
      <c r="A802" t="str">
        <f t="shared" si="56"/>
        <v>07/20/20</v>
      </c>
      <c r="B802" t="s">
        <v>1576</v>
      </c>
      <c r="C802" t="str">
        <f t="shared" si="58"/>
        <v>21223</v>
      </c>
      <c r="D802" t="str">
        <f>"0150 "</f>
        <v xml:space="preserve">0150 </v>
      </c>
      <c r="E802" t="str">
        <f>"042 "</f>
        <v xml:space="preserve">042 </v>
      </c>
      <c r="F802" t="s">
        <v>1577</v>
      </c>
      <c r="G802" s="1">
        <v>6000</v>
      </c>
      <c r="H802" t="s">
        <v>33</v>
      </c>
      <c r="I802" t="s">
        <v>15</v>
      </c>
      <c r="J802" s="1">
        <v>120764.51</v>
      </c>
    </row>
    <row r="803" spans="1:10" x14ac:dyDescent="0.25">
      <c r="A803" t="str">
        <f t="shared" si="56"/>
        <v>07/20/20</v>
      </c>
      <c r="B803" t="s">
        <v>1578</v>
      </c>
      <c r="C803" t="str">
        <f t="shared" si="58"/>
        <v>21223</v>
      </c>
      <c r="D803" t="str">
        <f>"0121 "</f>
        <v xml:space="preserve">0121 </v>
      </c>
      <c r="E803" t="str">
        <f>"014 "</f>
        <v xml:space="preserve">014 </v>
      </c>
      <c r="F803" t="s">
        <v>1579</v>
      </c>
      <c r="G803" s="1">
        <v>6400</v>
      </c>
      <c r="H803" t="s">
        <v>33</v>
      </c>
      <c r="I803" t="s">
        <v>15</v>
      </c>
      <c r="J803" s="1">
        <v>127782.91</v>
      </c>
    </row>
    <row r="804" spans="1:10" x14ac:dyDescent="0.25">
      <c r="A804" t="str">
        <f t="shared" si="56"/>
        <v>07/20/20</v>
      </c>
      <c r="B804" t="s">
        <v>1580</v>
      </c>
      <c r="C804" t="str">
        <f t="shared" si="58"/>
        <v>21223</v>
      </c>
      <c r="D804" t="str">
        <f>"0165 "</f>
        <v xml:space="preserve">0165 </v>
      </c>
      <c r="E804" t="str">
        <f>"039 "</f>
        <v xml:space="preserve">039 </v>
      </c>
      <c r="F804" t="s">
        <v>1581</v>
      </c>
      <c r="G804" s="1">
        <v>2800</v>
      </c>
      <c r="H804" t="s">
        <v>33</v>
      </c>
      <c r="I804" t="s">
        <v>15</v>
      </c>
      <c r="J804" s="1">
        <v>138585.82</v>
      </c>
    </row>
    <row r="805" spans="1:10" x14ac:dyDescent="0.25">
      <c r="A805" t="str">
        <f t="shared" si="56"/>
        <v>07/20/20</v>
      </c>
      <c r="B805" t="s">
        <v>1582</v>
      </c>
      <c r="C805" t="str">
        <f t="shared" si="58"/>
        <v>21223</v>
      </c>
      <c r="D805" t="str">
        <f>"0165 "</f>
        <v xml:space="preserve">0165 </v>
      </c>
      <c r="E805" t="str">
        <f>"038 "</f>
        <v xml:space="preserve">038 </v>
      </c>
      <c r="F805" t="s">
        <v>1581</v>
      </c>
      <c r="G805" s="1">
        <v>2800</v>
      </c>
      <c r="H805" t="s">
        <v>33</v>
      </c>
      <c r="I805" t="s">
        <v>15</v>
      </c>
      <c r="J805" s="1">
        <v>33660.94</v>
      </c>
    </row>
    <row r="806" spans="1:10" x14ac:dyDescent="0.25">
      <c r="A806" t="str">
        <f t="shared" si="56"/>
        <v>07/20/20</v>
      </c>
      <c r="B806" t="s">
        <v>1583</v>
      </c>
      <c r="C806" t="str">
        <f t="shared" si="58"/>
        <v>21223</v>
      </c>
      <c r="D806" t="str">
        <f>"0251 "</f>
        <v xml:space="preserve">0251 </v>
      </c>
      <c r="E806" t="str">
        <f>"064 "</f>
        <v xml:space="preserve">064 </v>
      </c>
      <c r="F806" t="s">
        <v>1584</v>
      </c>
      <c r="G806" s="1">
        <v>1600</v>
      </c>
      <c r="H806" t="s">
        <v>33</v>
      </c>
      <c r="I806" t="s">
        <v>15</v>
      </c>
      <c r="J806" s="1">
        <v>4076.83</v>
      </c>
    </row>
    <row r="807" spans="1:10" x14ac:dyDescent="0.25">
      <c r="A807" t="str">
        <f t="shared" si="56"/>
        <v>07/20/20</v>
      </c>
      <c r="B807" t="s">
        <v>1585</v>
      </c>
      <c r="C807" t="str">
        <f>"21229"</f>
        <v>21229</v>
      </c>
      <c r="D807" t="str">
        <f>"2299E"</f>
        <v>2299E</v>
      </c>
      <c r="E807" t="str">
        <f>"105 "</f>
        <v xml:space="preserve">105 </v>
      </c>
      <c r="F807" t="s">
        <v>1586</v>
      </c>
      <c r="G807" s="1">
        <v>73000</v>
      </c>
      <c r="H807" t="s">
        <v>14</v>
      </c>
      <c r="I807" t="s">
        <v>34</v>
      </c>
      <c r="J807" s="1">
        <v>59657.62</v>
      </c>
    </row>
    <row r="808" spans="1:10" x14ac:dyDescent="0.25">
      <c r="A808" t="str">
        <f t="shared" si="56"/>
        <v>07/20/20</v>
      </c>
      <c r="B808" t="s">
        <v>1587</v>
      </c>
      <c r="C808" t="str">
        <f>"21229"</f>
        <v>21229</v>
      </c>
      <c r="D808" t="str">
        <f>"2299E"</f>
        <v>2299E</v>
      </c>
      <c r="E808" t="str">
        <f>"094 "</f>
        <v xml:space="preserve">094 </v>
      </c>
      <c r="F808" t="s">
        <v>1588</v>
      </c>
      <c r="G808" s="1">
        <v>74500</v>
      </c>
      <c r="H808" t="s">
        <v>14</v>
      </c>
      <c r="I808" t="s">
        <v>15</v>
      </c>
      <c r="J808" s="1">
        <v>28049.83</v>
      </c>
    </row>
    <row r="809" spans="1:10" x14ac:dyDescent="0.25">
      <c r="A809" t="str">
        <f t="shared" si="56"/>
        <v>07/20/20</v>
      </c>
      <c r="B809" t="s">
        <v>1589</v>
      </c>
      <c r="C809" t="str">
        <f>"21216"</f>
        <v>21216</v>
      </c>
      <c r="D809" t="str">
        <f>"2817 "</f>
        <v xml:space="preserve">2817 </v>
      </c>
      <c r="E809" t="str">
        <f>"008 "</f>
        <v xml:space="preserve">008 </v>
      </c>
      <c r="F809" t="s">
        <v>1590</v>
      </c>
      <c r="G809" s="1">
        <v>113000</v>
      </c>
      <c r="H809" t="s">
        <v>91</v>
      </c>
      <c r="I809" t="s">
        <v>15</v>
      </c>
      <c r="J809" s="1">
        <v>33635.21</v>
      </c>
    </row>
    <row r="810" spans="1:10" x14ac:dyDescent="0.25">
      <c r="A810" t="str">
        <f t="shared" si="56"/>
        <v>07/20/20</v>
      </c>
      <c r="B810" t="s">
        <v>1591</v>
      </c>
      <c r="C810" t="str">
        <f>"21229"</f>
        <v>21229</v>
      </c>
      <c r="D810" t="str">
        <f>"2507 "</f>
        <v xml:space="preserve">2507 </v>
      </c>
      <c r="E810" t="str">
        <f>"001 "</f>
        <v xml:space="preserve">001 </v>
      </c>
      <c r="F810" t="s">
        <v>1592</v>
      </c>
      <c r="G810" s="1">
        <v>99500</v>
      </c>
      <c r="H810" t="s">
        <v>14</v>
      </c>
      <c r="I810" t="s">
        <v>34</v>
      </c>
      <c r="J810" s="1">
        <v>36711.879999999997</v>
      </c>
    </row>
    <row r="811" spans="1:10" x14ac:dyDescent="0.25">
      <c r="A811" t="str">
        <f t="shared" si="56"/>
        <v>07/20/20</v>
      </c>
      <c r="B811" t="s">
        <v>1593</v>
      </c>
      <c r="C811" t="str">
        <f>"21223"</f>
        <v>21223</v>
      </c>
      <c r="D811" t="str">
        <f>"2218 "</f>
        <v xml:space="preserve">2218 </v>
      </c>
      <c r="E811" t="str">
        <f>"044 "</f>
        <v xml:space="preserve">044 </v>
      </c>
      <c r="F811" t="s">
        <v>1594</v>
      </c>
      <c r="G811" s="1">
        <v>2000</v>
      </c>
      <c r="H811" t="s">
        <v>33</v>
      </c>
      <c r="I811" t="s">
        <v>34</v>
      </c>
      <c r="J811" s="1">
        <v>6265.66</v>
      </c>
    </row>
    <row r="812" spans="1:10" x14ac:dyDescent="0.25">
      <c r="A812" t="str">
        <f t="shared" si="56"/>
        <v>07/20/20</v>
      </c>
      <c r="B812" t="s">
        <v>1595</v>
      </c>
      <c r="C812" t="str">
        <f>"21223"</f>
        <v>21223</v>
      </c>
      <c r="D812" t="str">
        <f>"0151 "</f>
        <v xml:space="preserve">0151 </v>
      </c>
      <c r="E812" t="str">
        <f>"022 "</f>
        <v xml:space="preserve">022 </v>
      </c>
      <c r="F812" t="s">
        <v>1596</v>
      </c>
      <c r="G812" s="1">
        <v>7800</v>
      </c>
      <c r="H812" t="s">
        <v>33</v>
      </c>
      <c r="I812" t="s">
        <v>15</v>
      </c>
      <c r="J812" s="1">
        <v>69562.33</v>
      </c>
    </row>
    <row r="813" spans="1:10" x14ac:dyDescent="0.25">
      <c r="A813" t="str">
        <f t="shared" si="56"/>
        <v>07/20/20</v>
      </c>
      <c r="B813" t="s">
        <v>1597</v>
      </c>
      <c r="C813" t="str">
        <f>"21223"</f>
        <v>21223</v>
      </c>
      <c r="D813" t="str">
        <f>"0147 "</f>
        <v xml:space="preserve">0147 </v>
      </c>
      <c r="E813" t="str">
        <f>"028 "</f>
        <v xml:space="preserve">028 </v>
      </c>
      <c r="F813" t="s">
        <v>1598</v>
      </c>
      <c r="G813" s="1">
        <v>2000</v>
      </c>
      <c r="H813" t="s">
        <v>30</v>
      </c>
      <c r="I813" t="s">
        <v>34</v>
      </c>
      <c r="J813" s="1">
        <v>3238.75</v>
      </c>
    </row>
    <row r="814" spans="1:10" x14ac:dyDescent="0.25">
      <c r="A814" t="str">
        <f t="shared" si="56"/>
        <v>07/20/20</v>
      </c>
      <c r="B814" t="s">
        <v>1599</v>
      </c>
      <c r="C814" t="str">
        <f t="shared" ref="C814:C820" si="59">"21217"</f>
        <v>21217</v>
      </c>
      <c r="D814" t="str">
        <f t="shared" ref="D814:D820" si="60">"0031 "</f>
        <v xml:space="preserve">0031 </v>
      </c>
      <c r="E814" t="str">
        <f>"087 "</f>
        <v xml:space="preserve">087 </v>
      </c>
      <c r="F814" t="s">
        <v>1475</v>
      </c>
      <c r="G814" s="1">
        <v>1000</v>
      </c>
      <c r="H814" t="s">
        <v>33</v>
      </c>
      <c r="I814" t="s">
        <v>15</v>
      </c>
      <c r="J814" s="1">
        <v>12398.37</v>
      </c>
    </row>
    <row r="815" spans="1:10" x14ac:dyDescent="0.25">
      <c r="A815" t="str">
        <f t="shared" si="56"/>
        <v>07/20/20</v>
      </c>
      <c r="B815" t="s">
        <v>1600</v>
      </c>
      <c r="C815" t="str">
        <f t="shared" si="59"/>
        <v>21217</v>
      </c>
      <c r="D815" t="str">
        <f t="shared" si="60"/>
        <v xml:space="preserve">0031 </v>
      </c>
      <c r="E815" t="str">
        <f>"078 "</f>
        <v xml:space="preserve">078 </v>
      </c>
      <c r="F815" t="s">
        <v>1601</v>
      </c>
      <c r="G815" s="1">
        <v>1000</v>
      </c>
      <c r="H815" t="s">
        <v>33</v>
      </c>
      <c r="I815" t="s">
        <v>15</v>
      </c>
      <c r="J815" s="1">
        <v>119230.58</v>
      </c>
    </row>
    <row r="816" spans="1:10" x14ac:dyDescent="0.25">
      <c r="A816" t="str">
        <f t="shared" si="56"/>
        <v>07/20/20</v>
      </c>
      <c r="B816" t="s">
        <v>1602</v>
      </c>
      <c r="C816" t="str">
        <f t="shared" si="59"/>
        <v>21217</v>
      </c>
      <c r="D816" t="str">
        <f t="shared" si="60"/>
        <v xml:space="preserve">0031 </v>
      </c>
      <c r="E816" t="str">
        <f>"077 "</f>
        <v xml:space="preserve">077 </v>
      </c>
      <c r="F816" t="s">
        <v>1603</v>
      </c>
      <c r="G816" s="1">
        <v>1000</v>
      </c>
      <c r="H816" t="s">
        <v>33</v>
      </c>
      <c r="I816" t="s">
        <v>15</v>
      </c>
      <c r="J816" s="1">
        <v>235242.54</v>
      </c>
    </row>
    <row r="817" spans="1:10" x14ac:dyDescent="0.25">
      <c r="A817" t="str">
        <f t="shared" si="56"/>
        <v>07/20/20</v>
      </c>
      <c r="B817" t="s">
        <v>1604</v>
      </c>
      <c r="C817" t="str">
        <f t="shared" si="59"/>
        <v>21217</v>
      </c>
      <c r="D817" t="str">
        <f t="shared" si="60"/>
        <v xml:space="preserve">0031 </v>
      </c>
      <c r="E817" t="str">
        <f>"086 "</f>
        <v xml:space="preserve">086 </v>
      </c>
      <c r="F817" t="s">
        <v>1475</v>
      </c>
      <c r="G817" s="1">
        <v>1000</v>
      </c>
      <c r="H817" t="s">
        <v>33</v>
      </c>
      <c r="I817" t="s">
        <v>15</v>
      </c>
      <c r="J817" s="1">
        <v>13423.98</v>
      </c>
    </row>
    <row r="818" spans="1:10" x14ac:dyDescent="0.25">
      <c r="A818" t="str">
        <f t="shared" si="56"/>
        <v>07/20/20</v>
      </c>
      <c r="B818" t="s">
        <v>1605</v>
      </c>
      <c r="C818" t="str">
        <f t="shared" si="59"/>
        <v>21217</v>
      </c>
      <c r="D818" t="str">
        <f t="shared" si="60"/>
        <v xml:space="preserve">0031 </v>
      </c>
      <c r="E818" t="str">
        <f>"083 "</f>
        <v xml:space="preserve">083 </v>
      </c>
      <c r="F818" t="s">
        <v>1475</v>
      </c>
      <c r="G818" s="1">
        <v>1000</v>
      </c>
      <c r="H818" t="s">
        <v>33</v>
      </c>
      <c r="I818" t="s">
        <v>15</v>
      </c>
      <c r="J818" s="1">
        <v>12325.62</v>
      </c>
    </row>
    <row r="819" spans="1:10" x14ac:dyDescent="0.25">
      <c r="A819" t="str">
        <f t="shared" si="56"/>
        <v>07/20/20</v>
      </c>
      <c r="B819" t="s">
        <v>1606</v>
      </c>
      <c r="C819" t="str">
        <f t="shared" si="59"/>
        <v>21217</v>
      </c>
      <c r="D819" t="str">
        <f t="shared" si="60"/>
        <v xml:space="preserve">0031 </v>
      </c>
      <c r="E819" t="str">
        <f>"081 "</f>
        <v xml:space="preserve">081 </v>
      </c>
      <c r="F819" t="s">
        <v>1607</v>
      </c>
      <c r="G819" s="1">
        <v>1000</v>
      </c>
      <c r="H819" t="s">
        <v>33</v>
      </c>
      <c r="I819" t="s">
        <v>15</v>
      </c>
      <c r="J819" s="1">
        <v>70880.05</v>
      </c>
    </row>
    <row r="820" spans="1:10" x14ac:dyDescent="0.25">
      <c r="A820" t="str">
        <f t="shared" si="56"/>
        <v>07/20/20</v>
      </c>
      <c r="B820" t="s">
        <v>1608</v>
      </c>
      <c r="C820" t="str">
        <f t="shared" si="59"/>
        <v>21217</v>
      </c>
      <c r="D820" t="str">
        <f t="shared" si="60"/>
        <v xml:space="preserve">0031 </v>
      </c>
      <c r="E820" t="str">
        <f>"080 "</f>
        <v xml:space="preserve">080 </v>
      </c>
      <c r="F820" t="s">
        <v>1609</v>
      </c>
      <c r="G820" s="1">
        <v>1000</v>
      </c>
      <c r="H820" t="s">
        <v>33</v>
      </c>
      <c r="I820" t="s">
        <v>15</v>
      </c>
      <c r="J820" s="1">
        <v>148467.35</v>
      </c>
    </row>
    <row r="821" spans="1:10" x14ac:dyDescent="0.25">
      <c r="A821" t="str">
        <f t="shared" si="56"/>
        <v>07/20/20</v>
      </c>
      <c r="B821" t="s">
        <v>1610</v>
      </c>
      <c r="C821" t="str">
        <f>"IDGE0"</f>
        <v>IDGE0</v>
      </c>
      <c r="D821" t="str">
        <f>"4265 "</f>
        <v xml:space="preserve">4265 </v>
      </c>
      <c r="E821" t="str">
        <f>"012 "</f>
        <v xml:space="preserve">012 </v>
      </c>
      <c r="F821" t="s">
        <v>73</v>
      </c>
      <c r="G821" s="1">
        <v>3400</v>
      </c>
      <c r="H821" t="s">
        <v>74</v>
      </c>
      <c r="I821" t="s">
        <v>15</v>
      </c>
      <c r="J821" s="1">
        <v>7786.44</v>
      </c>
    </row>
    <row r="822" spans="1:10" x14ac:dyDescent="0.25">
      <c r="A822" t="str">
        <f t="shared" si="56"/>
        <v>07/20/20</v>
      </c>
      <c r="B822" t="s">
        <v>1611</v>
      </c>
      <c r="C822" t="str">
        <f>"IDGE0"</f>
        <v>IDGE0</v>
      </c>
      <c r="D822" t="str">
        <f>"4265 "</f>
        <v xml:space="preserve">4265 </v>
      </c>
      <c r="E822" t="str">
        <f>"010 "</f>
        <v xml:space="preserve">010 </v>
      </c>
      <c r="F822" t="s">
        <v>73</v>
      </c>
      <c r="G822" s="1">
        <v>4000</v>
      </c>
      <c r="H822" t="s">
        <v>74</v>
      </c>
      <c r="I822" t="s">
        <v>15</v>
      </c>
      <c r="J822" s="1">
        <v>8000.22</v>
      </c>
    </row>
    <row r="823" spans="1:10" x14ac:dyDescent="0.25">
      <c r="A823" t="str">
        <f t="shared" si="56"/>
        <v>07/20/20</v>
      </c>
      <c r="B823" t="s">
        <v>1612</v>
      </c>
      <c r="C823" t="str">
        <f>"DGE 1"</f>
        <v>DGE 1</v>
      </c>
      <c r="D823" t="str">
        <f>"4275 "</f>
        <v xml:space="preserve">4275 </v>
      </c>
      <c r="E823" t="str">
        <f>"023 "</f>
        <v xml:space="preserve">023 </v>
      </c>
      <c r="F823" t="s">
        <v>73</v>
      </c>
      <c r="G823" s="1">
        <v>2700</v>
      </c>
      <c r="H823" t="s">
        <v>74</v>
      </c>
      <c r="I823" t="s">
        <v>15</v>
      </c>
      <c r="J823" s="1">
        <v>817.32</v>
      </c>
    </row>
    <row r="824" spans="1:10" x14ac:dyDescent="0.25">
      <c r="A824" t="str">
        <f t="shared" si="56"/>
        <v>07/20/20</v>
      </c>
      <c r="B824" t="s">
        <v>1613</v>
      </c>
      <c r="C824" t="str">
        <f>"IDGE0"</f>
        <v>IDGE0</v>
      </c>
      <c r="D824" t="str">
        <f>"4265 "</f>
        <v xml:space="preserve">4265 </v>
      </c>
      <c r="E824" t="str">
        <f>"009 "</f>
        <v xml:space="preserve">009 </v>
      </c>
      <c r="F824" t="s">
        <v>73</v>
      </c>
      <c r="G824" s="1">
        <v>4300</v>
      </c>
      <c r="H824" t="s">
        <v>74</v>
      </c>
      <c r="I824" t="s">
        <v>15</v>
      </c>
      <c r="J824" s="1">
        <v>8558.09</v>
      </c>
    </row>
    <row r="825" spans="1:10" x14ac:dyDescent="0.25">
      <c r="A825" t="str">
        <f t="shared" si="56"/>
        <v>07/20/20</v>
      </c>
      <c r="B825" t="s">
        <v>1614</v>
      </c>
      <c r="C825" t="str">
        <f>"DGE 1"</f>
        <v>DGE 1</v>
      </c>
      <c r="D825" t="str">
        <f>"4275 "</f>
        <v xml:space="preserve">4275 </v>
      </c>
      <c r="E825" t="str">
        <f>"022 "</f>
        <v xml:space="preserve">022 </v>
      </c>
      <c r="F825" t="s">
        <v>73</v>
      </c>
      <c r="G825" s="1">
        <v>2700</v>
      </c>
      <c r="H825" t="s">
        <v>74</v>
      </c>
      <c r="I825" t="s">
        <v>15</v>
      </c>
      <c r="J825" s="1">
        <v>817.32</v>
      </c>
    </row>
    <row r="826" spans="1:10" x14ac:dyDescent="0.25">
      <c r="A826" t="str">
        <f t="shared" si="56"/>
        <v>07/20/20</v>
      </c>
      <c r="B826" t="s">
        <v>1615</v>
      </c>
      <c r="C826" t="str">
        <f>"    0"</f>
        <v xml:space="preserve">    0</v>
      </c>
      <c r="D826" t="str">
        <f>"4265 "</f>
        <v xml:space="preserve">4265 </v>
      </c>
      <c r="E826" t="str">
        <f>"002 "</f>
        <v xml:space="preserve">002 </v>
      </c>
      <c r="F826" t="s">
        <v>1616</v>
      </c>
      <c r="G826" s="1">
        <v>2700</v>
      </c>
      <c r="H826" t="s">
        <v>74</v>
      </c>
      <c r="I826" t="s">
        <v>15</v>
      </c>
      <c r="J826" s="1">
        <v>5965.15</v>
      </c>
    </row>
    <row r="827" spans="1:10" x14ac:dyDescent="0.25">
      <c r="A827" t="str">
        <f t="shared" si="56"/>
        <v>07/20/20</v>
      </c>
      <c r="B827" t="s">
        <v>1617</v>
      </c>
      <c r="C827" t="str">
        <f>"    0"</f>
        <v xml:space="preserve">    0</v>
      </c>
      <c r="D827" t="str">
        <f>"4275 "</f>
        <v xml:space="preserve">4275 </v>
      </c>
      <c r="E827" t="str">
        <f>"021 "</f>
        <v xml:space="preserve">021 </v>
      </c>
      <c r="F827" t="s">
        <v>1618</v>
      </c>
      <c r="G827" s="1">
        <v>2700</v>
      </c>
      <c r="H827" t="s">
        <v>74</v>
      </c>
      <c r="I827" t="s">
        <v>15</v>
      </c>
      <c r="J827" s="1">
        <v>817.32</v>
      </c>
    </row>
    <row r="828" spans="1:10" x14ac:dyDescent="0.25">
      <c r="A828" t="str">
        <f t="shared" si="56"/>
        <v>07/20/20</v>
      </c>
      <c r="B828" t="s">
        <v>1619</v>
      </c>
      <c r="C828" t="str">
        <f>"LE G1"</f>
        <v>LE G1</v>
      </c>
      <c r="D828" t="str">
        <f>"4348 "</f>
        <v xml:space="preserve">4348 </v>
      </c>
      <c r="E828" t="str">
        <f>"035A"</f>
        <v>035A</v>
      </c>
      <c r="F828" t="s">
        <v>1620</v>
      </c>
      <c r="G828" s="1">
        <v>0</v>
      </c>
      <c r="H828" t="s">
        <v>248</v>
      </c>
      <c r="I828" t="s">
        <v>15</v>
      </c>
      <c r="J828" s="1">
        <v>1036.6199999999999</v>
      </c>
    </row>
    <row r="829" spans="1:10" x14ac:dyDescent="0.25">
      <c r="A829" t="str">
        <f t="shared" si="56"/>
        <v>07/20/20</v>
      </c>
      <c r="B829" t="s">
        <v>1621</v>
      </c>
      <c r="C829" t="str">
        <f>"    0"</f>
        <v xml:space="preserve">    0</v>
      </c>
      <c r="D829" t="str">
        <f>"4130 "</f>
        <v xml:space="preserve">4130 </v>
      </c>
      <c r="E829" t="str">
        <f>"015 "</f>
        <v xml:space="preserve">015 </v>
      </c>
      <c r="F829" t="s">
        <v>1622</v>
      </c>
      <c r="G829" s="1">
        <v>1000</v>
      </c>
      <c r="H829" t="s">
        <v>14</v>
      </c>
      <c r="I829" t="s">
        <v>15</v>
      </c>
      <c r="J829" s="1">
        <v>149281.03</v>
      </c>
    </row>
    <row r="830" spans="1:10" x14ac:dyDescent="0.25">
      <c r="A830" t="str">
        <f t="shared" si="56"/>
        <v>07/20/20</v>
      </c>
      <c r="B830" t="s">
        <v>1623</v>
      </c>
      <c r="C830" t="str">
        <f>"    0"</f>
        <v xml:space="preserve">    0</v>
      </c>
      <c r="D830" t="str">
        <f>"4130 "</f>
        <v xml:space="preserve">4130 </v>
      </c>
      <c r="E830" t="str">
        <f>"013 "</f>
        <v xml:space="preserve">013 </v>
      </c>
      <c r="F830" t="s">
        <v>376</v>
      </c>
      <c r="G830" s="1">
        <v>1000</v>
      </c>
      <c r="H830" t="s">
        <v>14</v>
      </c>
      <c r="I830" t="s">
        <v>15</v>
      </c>
      <c r="J830" s="1">
        <v>58623.98</v>
      </c>
    </row>
    <row r="831" spans="1:10" x14ac:dyDescent="0.25">
      <c r="A831" t="str">
        <f t="shared" si="56"/>
        <v>07/20/20</v>
      </c>
      <c r="B831" t="s">
        <v>1624</v>
      </c>
      <c r="C831" t="str">
        <f>"RD  0"</f>
        <v>RD  0</v>
      </c>
      <c r="D831" t="str">
        <f>"5858A"</f>
        <v>5858A</v>
      </c>
      <c r="E831" t="str">
        <f>"030A"</f>
        <v>030A</v>
      </c>
      <c r="F831" t="s">
        <v>1625</v>
      </c>
      <c r="G831" s="1">
        <v>1200</v>
      </c>
      <c r="H831" t="s">
        <v>1626</v>
      </c>
      <c r="I831" t="s">
        <v>15</v>
      </c>
      <c r="J831" s="1">
        <v>5077.5200000000004</v>
      </c>
    </row>
    <row r="832" spans="1:10" x14ac:dyDescent="0.25">
      <c r="A832" t="str">
        <f t="shared" si="56"/>
        <v>07/20/20</v>
      </c>
      <c r="B832" t="s">
        <v>1627</v>
      </c>
      <c r="C832" t="str">
        <f>" RD 0"</f>
        <v xml:space="preserve"> RD 0</v>
      </c>
      <c r="D832" t="str">
        <f>"5545 "</f>
        <v xml:space="preserve">5545 </v>
      </c>
      <c r="E832" t="str">
        <f>"019A"</f>
        <v>019A</v>
      </c>
      <c r="F832" t="s">
        <v>1628</v>
      </c>
      <c r="G832" s="1">
        <v>2000</v>
      </c>
      <c r="H832" t="s">
        <v>124</v>
      </c>
      <c r="I832" t="s">
        <v>15</v>
      </c>
      <c r="J832" s="1">
        <v>361.74</v>
      </c>
    </row>
    <row r="833" spans="1:10" x14ac:dyDescent="0.25">
      <c r="A833" t="str">
        <f t="shared" si="56"/>
        <v>07/20/20</v>
      </c>
      <c r="B833" t="s">
        <v>1629</v>
      </c>
      <c r="C833" t="str">
        <f>" PK.0"</f>
        <v xml:space="preserve"> PK.0</v>
      </c>
      <c r="D833" t="str">
        <f>"4190A"</f>
        <v>4190A</v>
      </c>
      <c r="E833" t="str">
        <f>"061 "</f>
        <v xml:space="preserve">061 </v>
      </c>
      <c r="F833" t="s">
        <v>1630</v>
      </c>
      <c r="G833" s="1">
        <v>1100</v>
      </c>
      <c r="H833" t="s">
        <v>30</v>
      </c>
      <c r="I833" t="s">
        <v>15</v>
      </c>
      <c r="J833" s="1">
        <v>3221.5</v>
      </c>
    </row>
    <row r="834" spans="1:10" x14ac:dyDescent="0.25">
      <c r="A834" t="str">
        <f t="shared" si="56"/>
        <v>07/20/20</v>
      </c>
      <c r="B834" t="s">
        <v>1631</v>
      </c>
      <c r="C834" t="str">
        <f>"MAN 1"</f>
        <v>MAN 1</v>
      </c>
      <c r="D834" t="str">
        <f>"4149C"</f>
        <v>4149C</v>
      </c>
      <c r="E834" t="str">
        <f>"083 "</f>
        <v xml:space="preserve">083 </v>
      </c>
      <c r="F834" t="s">
        <v>1632</v>
      </c>
      <c r="G834" s="1">
        <v>1800</v>
      </c>
      <c r="H834" t="s">
        <v>30</v>
      </c>
      <c r="I834" t="s">
        <v>15</v>
      </c>
      <c r="J834" s="1">
        <v>476.98</v>
      </c>
    </row>
    <row r="835" spans="1:10" x14ac:dyDescent="0.25">
      <c r="A835" t="str">
        <f t="shared" ref="A835:A898" si="61">"07/20/20"</f>
        <v>07/20/20</v>
      </c>
      <c r="B835" t="s">
        <v>1633</v>
      </c>
      <c r="C835" t="str">
        <f>"A AV0"</f>
        <v>A AV0</v>
      </c>
      <c r="D835" t="str">
        <f>"3100D"</f>
        <v>3100D</v>
      </c>
      <c r="E835" t="str">
        <f>"050 "</f>
        <v xml:space="preserve">050 </v>
      </c>
      <c r="F835" t="s">
        <v>1634</v>
      </c>
      <c r="G835" s="1">
        <v>1600</v>
      </c>
      <c r="H835" t="s">
        <v>14</v>
      </c>
      <c r="I835" t="s">
        <v>15</v>
      </c>
      <c r="J835" s="1">
        <v>1579.85</v>
      </c>
    </row>
    <row r="836" spans="1:10" x14ac:dyDescent="0.25">
      <c r="A836" t="str">
        <f t="shared" si="61"/>
        <v>07/20/20</v>
      </c>
      <c r="B836" t="s">
        <v>1635</v>
      </c>
      <c r="C836" t="str">
        <f>"21216"</f>
        <v>21216</v>
      </c>
      <c r="D836" t="str">
        <f>"2744 "</f>
        <v xml:space="preserve">2744 </v>
      </c>
      <c r="E836" t="str">
        <f>"012 "</f>
        <v xml:space="preserve">012 </v>
      </c>
      <c r="F836" t="s">
        <v>1636</v>
      </c>
      <c r="G836" s="1">
        <v>37100</v>
      </c>
      <c r="H836" t="s">
        <v>14</v>
      </c>
      <c r="I836" t="s">
        <v>34</v>
      </c>
      <c r="J836" s="1">
        <v>18686.48</v>
      </c>
    </row>
    <row r="837" spans="1:10" x14ac:dyDescent="0.25">
      <c r="A837" t="str">
        <f t="shared" si="61"/>
        <v>07/20/20</v>
      </c>
      <c r="B837" t="s">
        <v>1637</v>
      </c>
      <c r="C837" t="str">
        <f>"21215"</f>
        <v>21215</v>
      </c>
      <c r="D837" t="str">
        <f>"3171 "</f>
        <v xml:space="preserve">3171 </v>
      </c>
      <c r="E837" t="str">
        <f>"013 "</f>
        <v xml:space="preserve">013 </v>
      </c>
      <c r="F837" t="s">
        <v>1638</v>
      </c>
      <c r="G837" s="1">
        <v>1000</v>
      </c>
      <c r="H837" t="s">
        <v>14</v>
      </c>
      <c r="I837" t="s">
        <v>15</v>
      </c>
      <c r="J837" s="1">
        <v>3326.52</v>
      </c>
    </row>
    <row r="838" spans="1:10" x14ac:dyDescent="0.25">
      <c r="A838" t="str">
        <f t="shared" si="61"/>
        <v>07/20/20</v>
      </c>
      <c r="B838" t="s">
        <v>1639</v>
      </c>
      <c r="C838" t="str">
        <f>"21216"</f>
        <v>21216</v>
      </c>
      <c r="D838" t="str">
        <f>"2743 "</f>
        <v xml:space="preserve">2743 </v>
      </c>
      <c r="E838" t="str">
        <f>"015 "</f>
        <v xml:space="preserve">015 </v>
      </c>
      <c r="F838" t="s">
        <v>1640</v>
      </c>
      <c r="G838" s="1">
        <v>61200</v>
      </c>
      <c r="H838" t="s">
        <v>91</v>
      </c>
      <c r="I838" t="s">
        <v>34</v>
      </c>
      <c r="J838" s="1">
        <v>57545.599999999999</v>
      </c>
    </row>
    <row r="839" spans="1:10" x14ac:dyDescent="0.25">
      <c r="A839" t="str">
        <f t="shared" si="61"/>
        <v>07/20/20</v>
      </c>
      <c r="B839" t="s">
        <v>1641</v>
      </c>
      <c r="C839" t="str">
        <f>"21213"</f>
        <v>21213</v>
      </c>
      <c r="D839" t="str">
        <f>"4165 "</f>
        <v xml:space="preserve">4165 </v>
      </c>
      <c r="E839" t="str">
        <f>"067 "</f>
        <v xml:space="preserve">067 </v>
      </c>
      <c r="F839" t="s">
        <v>774</v>
      </c>
      <c r="G839" s="1">
        <v>1000</v>
      </c>
      <c r="H839" t="s">
        <v>248</v>
      </c>
      <c r="I839" t="s">
        <v>15</v>
      </c>
      <c r="J839" s="1">
        <v>141333.47</v>
      </c>
    </row>
    <row r="840" spans="1:10" x14ac:dyDescent="0.25">
      <c r="A840" t="str">
        <f t="shared" si="61"/>
        <v>07/20/20</v>
      </c>
      <c r="B840" t="s">
        <v>1642</v>
      </c>
      <c r="C840" t="str">
        <f>"21213"</f>
        <v>21213</v>
      </c>
      <c r="D840" t="str">
        <f>"4165 "</f>
        <v xml:space="preserve">4165 </v>
      </c>
      <c r="E840" t="str">
        <f>"070 "</f>
        <v xml:space="preserve">070 </v>
      </c>
      <c r="F840" t="s">
        <v>1643</v>
      </c>
      <c r="G840" s="1">
        <v>5000</v>
      </c>
      <c r="H840" t="s">
        <v>33</v>
      </c>
      <c r="I840" t="s">
        <v>34</v>
      </c>
      <c r="J840" s="1">
        <v>29892.83</v>
      </c>
    </row>
    <row r="841" spans="1:10" x14ac:dyDescent="0.25">
      <c r="A841" t="str">
        <f t="shared" si="61"/>
        <v>07/20/20</v>
      </c>
      <c r="B841" t="s">
        <v>1644</v>
      </c>
      <c r="C841" t="str">
        <f>"21213"</f>
        <v>21213</v>
      </c>
      <c r="D841" t="str">
        <f>"4165 "</f>
        <v xml:space="preserve">4165 </v>
      </c>
      <c r="E841" t="str">
        <f>"081 "</f>
        <v xml:space="preserve">081 </v>
      </c>
      <c r="F841" t="s">
        <v>1645</v>
      </c>
      <c r="G841" s="1">
        <v>5000</v>
      </c>
      <c r="H841" t="s">
        <v>33</v>
      </c>
      <c r="I841" t="s">
        <v>34</v>
      </c>
      <c r="J841" s="1">
        <v>121139.85</v>
      </c>
    </row>
    <row r="842" spans="1:10" x14ac:dyDescent="0.25">
      <c r="A842" t="str">
        <f t="shared" si="61"/>
        <v>07/20/20</v>
      </c>
      <c r="B842" t="s">
        <v>1646</v>
      </c>
      <c r="C842" t="str">
        <f>"21213"</f>
        <v>21213</v>
      </c>
      <c r="D842" t="str">
        <f>"4166 "</f>
        <v xml:space="preserve">4166 </v>
      </c>
      <c r="E842" t="str">
        <f>"041 "</f>
        <v xml:space="preserve">041 </v>
      </c>
      <c r="F842" t="s">
        <v>1647</v>
      </c>
      <c r="G842" s="1">
        <v>1000</v>
      </c>
      <c r="H842" t="s">
        <v>33</v>
      </c>
      <c r="I842" t="s">
        <v>15</v>
      </c>
      <c r="J842" s="1">
        <v>205929.66</v>
      </c>
    </row>
    <row r="843" spans="1:10" x14ac:dyDescent="0.25">
      <c r="A843" t="str">
        <f t="shared" si="61"/>
        <v>07/20/20</v>
      </c>
      <c r="B843" t="s">
        <v>1648</v>
      </c>
      <c r="C843" t="str">
        <f>"21223"</f>
        <v>21223</v>
      </c>
      <c r="D843" t="str">
        <f>"0280 "</f>
        <v xml:space="preserve">0280 </v>
      </c>
      <c r="E843" t="str">
        <f>"096 "</f>
        <v xml:space="preserve">096 </v>
      </c>
      <c r="F843" t="s">
        <v>998</v>
      </c>
      <c r="G843" s="1">
        <v>10000</v>
      </c>
      <c r="H843" t="s">
        <v>33</v>
      </c>
      <c r="I843" t="s">
        <v>15</v>
      </c>
      <c r="J843" s="1">
        <v>11292.1</v>
      </c>
    </row>
    <row r="844" spans="1:10" x14ac:dyDescent="0.25">
      <c r="A844" t="str">
        <f t="shared" si="61"/>
        <v>07/20/20</v>
      </c>
      <c r="B844" t="s">
        <v>1649</v>
      </c>
      <c r="C844" t="str">
        <f>"00000"</f>
        <v>00000</v>
      </c>
      <c r="D844" t="str">
        <f>"0197 "</f>
        <v xml:space="preserve">0197 </v>
      </c>
      <c r="E844" t="str">
        <f>"048 "</f>
        <v xml:space="preserve">048 </v>
      </c>
      <c r="F844" t="s">
        <v>1650</v>
      </c>
      <c r="G844" s="1">
        <v>2700</v>
      </c>
      <c r="H844" t="s">
        <v>33</v>
      </c>
      <c r="I844" t="s">
        <v>15</v>
      </c>
      <c r="J844" s="1">
        <v>56965.75</v>
      </c>
    </row>
    <row r="845" spans="1:10" x14ac:dyDescent="0.25">
      <c r="A845" t="str">
        <f t="shared" si="61"/>
        <v>07/20/20</v>
      </c>
      <c r="B845" t="s">
        <v>1651</v>
      </c>
      <c r="C845" t="str">
        <f>"21223"</f>
        <v>21223</v>
      </c>
      <c r="D845" t="str">
        <f>"0280 "</f>
        <v xml:space="preserve">0280 </v>
      </c>
      <c r="E845" t="str">
        <f>"093 "</f>
        <v xml:space="preserve">093 </v>
      </c>
      <c r="F845" t="s">
        <v>1652</v>
      </c>
      <c r="G845" s="1">
        <v>1000</v>
      </c>
      <c r="H845" t="s">
        <v>33</v>
      </c>
      <c r="I845" t="s">
        <v>15</v>
      </c>
      <c r="J845" s="1">
        <v>5699.05</v>
      </c>
    </row>
    <row r="846" spans="1:10" x14ac:dyDescent="0.25">
      <c r="A846" t="str">
        <f t="shared" si="61"/>
        <v>07/20/20</v>
      </c>
      <c r="B846" t="s">
        <v>1653</v>
      </c>
      <c r="C846" t="str">
        <f>"21223"</f>
        <v>21223</v>
      </c>
      <c r="D846" t="str">
        <f>"0280 "</f>
        <v xml:space="preserve">0280 </v>
      </c>
      <c r="E846" t="str">
        <f>"091 "</f>
        <v xml:space="preserve">091 </v>
      </c>
      <c r="F846" t="s">
        <v>308</v>
      </c>
      <c r="G846" s="1">
        <v>1000</v>
      </c>
      <c r="H846" t="s">
        <v>33</v>
      </c>
      <c r="I846" t="s">
        <v>15</v>
      </c>
      <c r="J846" s="1">
        <v>7419.66</v>
      </c>
    </row>
    <row r="847" spans="1:10" x14ac:dyDescent="0.25">
      <c r="A847" t="str">
        <f t="shared" si="61"/>
        <v>07/20/20</v>
      </c>
      <c r="B847" t="s">
        <v>1654</v>
      </c>
      <c r="C847" t="str">
        <f>"00000"</f>
        <v>00000</v>
      </c>
      <c r="D847" t="str">
        <f>"0197 "</f>
        <v xml:space="preserve">0197 </v>
      </c>
      <c r="E847" t="str">
        <f>"050 "</f>
        <v xml:space="preserve">050 </v>
      </c>
      <c r="F847" t="s">
        <v>1650</v>
      </c>
      <c r="G847" s="1">
        <v>3200</v>
      </c>
      <c r="H847" t="s">
        <v>33</v>
      </c>
      <c r="I847" t="s">
        <v>15</v>
      </c>
      <c r="J847" s="1">
        <v>24712.65</v>
      </c>
    </row>
    <row r="848" spans="1:10" x14ac:dyDescent="0.25">
      <c r="A848" t="str">
        <f t="shared" si="61"/>
        <v>07/20/20</v>
      </c>
      <c r="B848" t="s">
        <v>1655</v>
      </c>
      <c r="C848" t="str">
        <f>"00000"</f>
        <v>00000</v>
      </c>
      <c r="D848" t="str">
        <f>"0197 "</f>
        <v xml:space="preserve">0197 </v>
      </c>
      <c r="E848" t="str">
        <f>"049 "</f>
        <v xml:space="preserve">049 </v>
      </c>
      <c r="F848" t="s">
        <v>1650</v>
      </c>
      <c r="G848" s="1">
        <v>3200</v>
      </c>
      <c r="H848" t="s">
        <v>33</v>
      </c>
      <c r="I848" t="s">
        <v>15</v>
      </c>
      <c r="J848" s="1">
        <v>25391.18</v>
      </c>
    </row>
    <row r="849" spans="1:10" x14ac:dyDescent="0.25">
      <c r="A849" t="str">
        <f t="shared" si="61"/>
        <v>07/20/20</v>
      </c>
      <c r="B849" t="s">
        <v>1656</v>
      </c>
      <c r="C849" t="str">
        <f>"21223"</f>
        <v>21223</v>
      </c>
      <c r="D849" t="str">
        <f>"0709 "</f>
        <v xml:space="preserve">0709 </v>
      </c>
      <c r="E849" t="str">
        <f>"028 "</f>
        <v xml:space="preserve">028 </v>
      </c>
      <c r="F849" t="s">
        <v>599</v>
      </c>
      <c r="G849" s="1">
        <v>1000</v>
      </c>
      <c r="H849" t="s">
        <v>33</v>
      </c>
      <c r="I849" t="s">
        <v>15</v>
      </c>
      <c r="J849" s="1">
        <v>235361.93</v>
      </c>
    </row>
    <row r="850" spans="1:10" x14ac:dyDescent="0.25">
      <c r="A850" t="str">
        <f t="shared" si="61"/>
        <v>07/20/20</v>
      </c>
      <c r="B850" t="s">
        <v>1657</v>
      </c>
      <c r="C850" t="str">
        <f>"21217"</f>
        <v>21217</v>
      </c>
      <c r="D850" t="str">
        <f>"0304 "</f>
        <v xml:space="preserve">0304 </v>
      </c>
      <c r="E850" t="str">
        <f>"023 "</f>
        <v xml:space="preserve">023 </v>
      </c>
      <c r="F850" t="s">
        <v>1658</v>
      </c>
      <c r="G850" s="1">
        <v>33900</v>
      </c>
      <c r="H850" t="s">
        <v>142</v>
      </c>
      <c r="I850" t="s">
        <v>15</v>
      </c>
      <c r="J850" s="1">
        <v>323719.2</v>
      </c>
    </row>
    <row r="851" spans="1:10" x14ac:dyDescent="0.25">
      <c r="A851" t="str">
        <f t="shared" si="61"/>
        <v>07/20/20</v>
      </c>
      <c r="B851" t="s">
        <v>1659</v>
      </c>
      <c r="C851" t="str">
        <f>"21202"</f>
        <v>21202</v>
      </c>
      <c r="D851" t="str">
        <f>"1099B"</f>
        <v>1099B</v>
      </c>
      <c r="E851" t="str">
        <f>"067 "</f>
        <v xml:space="preserve">067 </v>
      </c>
      <c r="F851" t="s">
        <v>1660</v>
      </c>
      <c r="G851" s="1">
        <v>36100</v>
      </c>
      <c r="H851" t="s">
        <v>142</v>
      </c>
      <c r="I851" t="s">
        <v>34</v>
      </c>
      <c r="J851" s="1">
        <v>1903.94</v>
      </c>
    </row>
    <row r="852" spans="1:10" x14ac:dyDescent="0.25">
      <c r="A852" t="str">
        <f t="shared" si="61"/>
        <v>07/20/20</v>
      </c>
      <c r="B852" t="s">
        <v>1661</v>
      </c>
      <c r="C852" t="str">
        <f>"21202"</f>
        <v>21202</v>
      </c>
      <c r="D852" t="str">
        <f>"1099B"</f>
        <v>1099B</v>
      </c>
      <c r="E852" t="str">
        <f>"071 "</f>
        <v xml:space="preserve">071 </v>
      </c>
      <c r="F852" t="s">
        <v>1662</v>
      </c>
      <c r="G852" s="1">
        <v>123100</v>
      </c>
      <c r="H852" t="s">
        <v>142</v>
      </c>
      <c r="I852" t="s">
        <v>15</v>
      </c>
      <c r="J852" s="1">
        <v>4720.2700000000004</v>
      </c>
    </row>
    <row r="853" spans="1:10" x14ac:dyDescent="0.25">
      <c r="A853" t="str">
        <f t="shared" si="61"/>
        <v>07/20/20</v>
      </c>
      <c r="B853" t="s">
        <v>1663</v>
      </c>
      <c r="C853" t="str">
        <f>"21217"</f>
        <v>21217</v>
      </c>
      <c r="D853" t="str">
        <f>"0002 "</f>
        <v xml:space="preserve">0002 </v>
      </c>
      <c r="E853" t="str">
        <f>"037 "</f>
        <v xml:space="preserve">037 </v>
      </c>
      <c r="F853" t="s">
        <v>209</v>
      </c>
      <c r="G853" s="1">
        <v>9000</v>
      </c>
      <c r="H853" t="s">
        <v>1664</v>
      </c>
      <c r="I853" t="s">
        <v>34</v>
      </c>
      <c r="J853" s="1">
        <v>16649.86</v>
      </c>
    </row>
    <row r="854" spans="1:10" x14ac:dyDescent="0.25">
      <c r="A854" t="str">
        <f t="shared" si="61"/>
        <v>07/20/20</v>
      </c>
      <c r="B854" t="s">
        <v>1665</v>
      </c>
      <c r="C854" t="str">
        <f>"21217"</f>
        <v>21217</v>
      </c>
      <c r="D854" t="str">
        <f>"0001 "</f>
        <v xml:space="preserve">0001 </v>
      </c>
      <c r="E854" t="str">
        <f>"010 "</f>
        <v xml:space="preserve">010 </v>
      </c>
      <c r="F854" t="s">
        <v>1666</v>
      </c>
      <c r="G854" s="1">
        <v>23000</v>
      </c>
      <c r="H854" t="s">
        <v>1664</v>
      </c>
      <c r="I854" t="s">
        <v>15</v>
      </c>
      <c r="J854" s="1">
        <v>7269.27</v>
      </c>
    </row>
    <row r="855" spans="1:10" x14ac:dyDescent="0.25">
      <c r="A855" t="str">
        <f t="shared" si="61"/>
        <v>07/20/20</v>
      </c>
      <c r="B855" t="s">
        <v>1667</v>
      </c>
      <c r="C855" t="str">
        <f>"21217"</f>
        <v>21217</v>
      </c>
      <c r="D855" t="str">
        <f>"0001 "</f>
        <v xml:space="preserve">0001 </v>
      </c>
      <c r="E855" t="str">
        <f>"007 "</f>
        <v xml:space="preserve">007 </v>
      </c>
      <c r="F855" t="s">
        <v>1668</v>
      </c>
      <c r="G855" s="1">
        <v>23000</v>
      </c>
      <c r="H855" t="s">
        <v>1664</v>
      </c>
      <c r="I855" t="s">
        <v>34</v>
      </c>
      <c r="J855" s="1">
        <v>62225.2</v>
      </c>
    </row>
    <row r="856" spans="1:10" x14ac:dyDescent="0.25">
      <c r="A856" t="str">
        <f t="shared" si="61"/>
        <v>07/20/20</v>
      </c>
      <c r="B856" t="s">
        <v>1669</v>
      </c>
      <c r="C856" t="str">
        <f>"21213"</f>
        <v>21213</v>
      </c>
      <c r="D856" t="str">
        <f>"4156 "</f>
        <v xml:space="preserve">4156 </v>
      </c>
      <c r="E856" t="str">
        <f>"029 "</f>
        <v xml:space="preserve">029 </v>
      </c>
      <c r="F856" t="s">
        <v>1670</v>
      </c>
      <c r="G856" s="1">
        <v>28000</v>
      </c>
      <c r="H856" t="s">
        <v>33</v>
      </c>
      <c r="I856" t="s">
        <v>15</v>
      </c>
      <c r="J856" s="1">
        <v>13700.41</v>
      </c>
    </row>
    <row r="857" spans="1:10" x14ac:dyDescent="0.25">
      <c r="A857" t="str">
        <f t="shared" si="61"/>
        <v>07/20/20</v>
      </c>
      <c r="B857" t="s">
        <v>1671</v>
      </c>
      <c r="C857" t="str">
        <f>"21202"</f>
        <v>21202</v>
      </c>
      <c r="D857" t="str">
        <f>"4005 "</f>
        <v xml:space="preserve">4005 </v>
      </c>
      <c r="E857" t="str">
        <f>"008 "</f>
        <v xml:space="preserve">008 </v>
      </c>
      <c r="F857" t="s">
        <v>1672</v>
      </c>
      <c r="G857" s="1">
        <v>13000</v>
      </c>
      <c r="H857" t="s">
        <v>33</v>
      </c>
      <c r="I857" t="s">
        <v>34</v>
      </c>
      <c r="J857" s="1">
        <v>2787.93</v>
      </c>
    </row>
    <row r="858" spans="1:10" x14ac:dyDescent="0.25">
      <c r="A858" t="str">
        <f t="shared" si="61"/>
        <v>07/20/20</v>
      </c>
      <c r="B858" t="s">
        <v>1673</v>
      </c>
      <c r="C858" t="str">
        <f>"21217"</f>
        <v>21217</v>
      </c>
      <c r="D858" t="str">
        <f>"3208 "</f>
        <v xml:space="preserve">3208 </v>
      </c>
      <c r="E858" t="str">
        <f>"021 "</f>
        <v xml:space="preserve">021 </v>
      </c>
      <c r="F858" t="s">
        <v>1674</v>
      </c>
      <c r="G858" s="1">
        <v>9000</v>
      </c>
      <c r="H858" t="s">
        <v>1664</v>
      </c>
      <c r="I858" t="s">
        <v>34</v>
      </c>
      <c r="J858" s="1">
        <v>14415.61</v>
      </c>
    </row>
    <row r="859" spans="1:10" x14ac:dyDescent="0.25">
      <c r="A859" t="str">
        <f t="shared" si="61"/>
        <v>07/20/20</v>
      </c>
      <c r="B859" t="s">
        <v>1675</v>
      </c>
      <c r="C859" t="str">
        <f>"21217"</f>
        <v>21217</v>
      </c>
      <c r="D859" t="str">
        <f>"3208 "</f>
        <v xml:space="preserve">3208 </v>
      </c>
      <c r="E859" t="str">
        <f>"007 "</f>
        <v xml:space="preserve">007 </v>
      </c>
      <c r="F859" t="s">
        <v>1676</v>
      </c>
      <c r="G859" s="1">
        <v>19000</v>
      </c>
      <c r="H859" t="s">
        <v>1664</v>
      </c>
      <c r="I859" t="s">
        <v>34</v>
      </c>
      <c r="J859" s="1">
        <v>8469.5</v>
      </c>
    </row>
    <row r="860" spans="1:10" x14ac:dyDescent="0.25">
      <c r="A860" t="str">
        <f t="shared" si="61"/>
        <v>07/20/20</v>
      </c>
      <c r="B860" t="s">
        <v>1677</v>
      </c>
      <c r="C860" t="str">
        <f t="shared" ref="C860:C867" si="62">"21216"</f>
        <v>21216</v>
      </c>
      <c r="D860" t="str">
        <f>"2307 "</f>
        <v xml:space="preserve">2307 </v>
      </c>
      <c r="E860" t="str">
        <f>"012 "</f>
        <v xml:space="preserve">012 </v>
      </c>
      <c r="F860" t="s">
        <v>1678</v>
      </c>
      <c r="G860" s="1">
        <v>11000</v>
      </c>
      <c r="H860" t="s">
        <v>142</v>
      </c>
      <c r="I860" t="s">
        <v>34</v>
      </c>
      <c r="J860" s="1">
        <v>65196.59</v>
      </c>
    </row>
    <row r="861" spans="1:10" x14ac:dyDescent="0.25">
      <c r="A861" t="str">
        <f t="shared" si="61"/>
        <v>07/20/20</v>
      </c>
      <c r="B861" t="s">
        <v>1679</v>
      </c>
      <c r="C861" t="str">
        <f t="shared" si="62"/>
        <v>21216</v>
      </c>
      <c r="D861" t="str">
        <f>"2307 "</f>
        <v xml:space="preserve">2307 </v>
      </c>
      <c r="E861" t="str">
        <f>"011 "</f>
        <v xml:space="preserve">011 </v>
      </c>
      <c r="F861" t="s">
        <v>1680</v>
      </c>
      <c r="G861" s="1">
        <v>11000</v>
      </c>
      <c r="H861" t="s">
        <v>142</v>
      </c>
      <c r="I861" t="s">
        <v>34</v>
      </c>
      <c r="J861" s="1">
        <v>41528.339999999997</v>
      </c>
    </row>
    <row r="862" spans="1:10" x14ac:dyDescent="0.25">
      <c r="A862" t="str">
        <f t="shared" si="61"/>
        <v>07/20/20</v>
      </c>
      <c r="B862" t="s">
        <v>1681</v>
      </c>
      <c r="C862" t="str">
        <f t="shared" si="62"/>
        <v>21216</v>
      </c>
      <c r="D862" t="str">
        <f>"2304 "</f>
        <v xml:space="preserve">2304 </v>
      </c>
      <c r="E862" t="str">
        <f>"009 "</f>
        <v xml:space="preserve">009 </v>
      </c>
      <c r="F862" t="s">
        <v>1682</v>
      </c>
      <c r="G862" s="1">
        <v>2700</v>
      </c>
      <c r="H862" t="s">
        <v>142</v>
      </c>
      <c r="I862" t="s">
        <v>15</v>
      </c>
      <c r="J862" s="1">
        <v>18856.560000000001</v>
      </c>
    </row>
    <row r="863" spans="1:10" x14ac:dyDescent="0.25">
      <c r="A863" t="str">
        <f t="shared" si="61"/>
        <v>07/20/20</v>
      </c>
      <c r="B863" t="s">
        <v>1683</v>
      </c>
      <c r="C863" t="str">
        <f t="shared" si="62"/>
        <v>21216</v>
      </c>
      <c r="D863" t="str">
        <f>"2303 "</f>
        <v xml:space="preserve">2303 </v>
      </c>
      <c r="E863" t="str">
        <f>"002 "</f>
        <v xml:space="preserve">002 </v>
      </c>
      <c r="F863" t="s">
        <v>1684</v>
      </c>
      <c r="G863" s="1">
        <v>11000</v>
      </c>
      <c r="H863" t="s">
        <v>33</v>
      </c>
      <c r="I863" t="s">
        <v>34</v>
      </c>
      <c r="J863" s="1">
        <v>129202.04</v>
      </c>
    </row>
    <row r="864" spans="1:10" x14ac:dyDescent="0.25">
      <c r="A864" t="str">
        <f t="shared" si="61"/>
        <v>07/20/20</v>
      </c>
      <c r="B864" t="s">
        <v>1685</v>
      </c>
      <c r="C864" t="str">
        <f t="shared" si="62"/>
        <v>21216</v>
      </c>
      <c r="D864" t="str">
        <f>"2304 "</f>
        <v xml:space="preserve">2304 </v>
      </c>
      <c r="E864" t="str">
        <f>"007 "</f>
        <v xml:space="preserve">007 </v>
      </c>
      <c r="F864" t="s">
        <v>1686</v>
      </c>
      <c r="G864" s="1">
        <v>11000</v>
      </c>
      <c r="H864" t="s">
        <v>142</v>
      </c>
      <c r="I864" t="s">
        <v>34</v>
      </c>
      <c r="J864" s="1">
        <v>15404.51</v>
      </c>
    </row>
    <row r="865" spans="1:10" x14ac:dyDescent="0.25">
      <c r="A865" t="str">
        <f t="shared" si="61"/>
        <v>07/20/20</v>
      </c>
      <c r="B865" t="s">
        <v>1687</v>
      </c>
      <c r="C865" t="str">
        <f t="shared" si="62"/>
        <v>21216</v>
      </c>
      <c r="D865" t="str">
        <f>"2402 "</f>
        <v xml:space="preserve">2402 </v>
      </c>
      <c r="E865" t="str">
        <f>"001 "</f>
        <v xml:space="preserve">001 </v>
      </c>
      <c r="F865" t="s">
        <v>1688</v>
      </c>
      <c r="G865" s="1">
        <v>1000</v>
      </c>
      <c r="H865" t="s">
        <v>142</v>
      </c>
      <c r="I865" t="s">
        <v>15</v>
      </c>
      <c r="J865" s="1">
        <v>67395.61</v>
      </c>
    </row>
    <row r="866" spans="1:10" x14ac:dyDescent="0.25">
      <c r="A866" t="str">
        <f t="shared" si="61"/>
        <v>07/20/20</v>
      </c>
      <c r="B866" t="s">
        <v>1689</v>
      </c>
      <c r="C866" t="str">
        <f t="shared" si="62"/>
        <v>21216</v>
      </c>
      <c r="D866" t="str">
        <f>"2401A"</f>
        <v>2401A</v>
      </c>
      <c r="E866" t="str">
        <f>"002 "</f>
        <v xml:space="preserve">002 </v>
      </c>
      <c r="F866" t="s">
        <v>1690</v>
      </c>
      <c r="G866" s="1">
        <v>1000</v>
      </c>
      <c r="H866" t="s">
        <v>142</v>
      </c>
      <c r="I866" t="s">
        <v>15</v>
      </c>
      <c r="J866" s="1">
        <v>1813.47</v>
      </c>
    </row>
    <row r="867" spans="1:10" x14ac:dyDescent="0.25">
      <c r="A867" t="str">
        <f t="shared" si="61"/>
        <v>07/20/20</v>
      </c>
      <c r="B867" t="s">
        <v>1691</v>
      </c>
      <c r="C867" t="str">
        <f t="shared" si="62"/>
        <v>21216</v>
      </c>
      <c r="D867" t="str">
        <f>"2401A"</f>
        <v>2401A</v>
      </c>
      <c r="E867" t="str">
        <f>"004 "</f>
        <v xml:space="preserve">004 </v>
      </c>
      <c r="F867" t="s">
        <v>1690</v>
      </c>
      <c r="G867" s="1">
        <v>1000</v>
      </c>
      <c r="H867" t="s">
        <v>142</v>
      </c>
      <c r="I867" t="s">
        <v>15</v>
      </c>
      <c r="J867" s="1">
        <v>1289.8599999999999</v>
      </c>
    </row>
    <row r="868" spans="1:10" x14ac:dyDescent="0.25">
      <c r="A868" t="str">
        <f t="shared" si="61"/>
        <v>07/20/20</v>
      </c>
      <c r="B868" t="s">
        <v>1692</v>
      </c>
      <c r="C868" t="str">
        <f>"21202"</f>
        <v>21202</v>
      </c>
      <c r="D868" t="str">
        <f>"4002 "</f>
        <v xml:space="preserve">4002 </v>
      </c>
      <c r="E868" t="str">
        <f>"010 "</f>
        <v xml:space="preserve">010 </v>
      </c>
      <c r="F868" t="s">
        <v>1693</v>
      </c>
      <c r="G868" s="1">
        <v>17000</v>
      </c>
      <c r="H868" t="s">
        <v>33</v>
      </c>
      <c r="I868" t="s">
        <v>34</v>
      </c>
      <c r="J868" s="1">
        <v>8005</v>
      </c>
    </row>
    <row r="869" spans="1:10" x14ac:dyDescent="0.25">
      <c r="A869" t="str">
        <f t="shared" si="61"/>
        <v>07/20/20</v>
      </c>
      <c r="B869" t="s">
        <v>1694</v>
      </c>
      <c r="C869" t="str">
        <f>"21217"</f>
        <v>21217</v>
      </c>
      <c r="D869" t="str">
        <f>"3400 "</f>
        <v xml:space="preserve">3400 </v>
      </c>
      <c r="E869" t="str">
        <f>"036 "</f>
        <v xml:space="preserve">036 </v>
      </c>
      <c r="F869" t="s">
        <v>1695</v>
      </c>
      <c r="G869" s="1">
        <v>1000</v>
      </c>
      <c r="H869" t="s">
        <v>1664</v>
      </c>
      <c r="I869" t="s">
        <v>15</v>
      </c>
      <c r="J869" s="1">
        <v>384759</v>
      </c>
    </row>
    <row r="870" spans="1:10" x14ac:dyDescent="0.25">
      <c r="A870" t="str">
        <f t="shared" si="61"/>
        <v>07/20/20</v>
      </c>
      <c r="B870" t="s">
        <v>1696</v>
      </c>
      <c r="C870" t="str">
        <f>"21217"</f>
        <v>21217</v>
      </c>
      <c r="D870" t="str">
        <f>"3400 "</f>
        <v xml:space="preserve">3400 </v>
      </c>
      <c r="E870" t="str">
        <f>"029 "</f>
        <v xml:space="preserve">029 </v>
      </c>
      <c r="F870" t="s">
        <v>1697</v>
      </c>
      <c r="G870" s="1">
        <v>1000</v>
      </c>
      <c r="H870" t="s">
        <v>1664</v>
      </c>
      <c r="I870" t="s">
        <v>15</v>
      </c>
      <c r="J870" s="1">
        <v>57016.42</v>
      </c>
    </row>
    <row r="871" spans="1:10" x14ac:dyDescent="0.25">
      <c r="A871" t="str">
        <f t="shared" si="61"/>
        <v>07/20/20</v>
      </c>
      <c r="B871" t="s">
        <v>1698</v>
      </c>
      <c r="C871" t="str">
        <f>"21217"</f>
        <v>21217</v>
      </c>
      <c r="D871" t="str">
        <f>"3414 "</f>
        <v xml:space="preserve">3414 </v>
      </c>
      <c r="E871" t="str">
        <f>"020 "</f>
        <v xml:space="preserve">020 </v>
      </c>
      <c r="F871" t="s">
        <v>1699</v>
      </c>
      <c r="G871" s="1">
        <v>95800</v>
      </c>
      <c r="H871" t="s">
        <v>142</v>
      </c>
      <c r="I871" t="s">
        <v>15</v>
      </c>
      <c r="J871" s="1">
        <v>9688.57</v>
      </c>
    </row>
    <row r="872" spans="1:10" x14ac:dyDescent="0.25">
      <c r="A872" t="str">
        <f t="shared" si="61"/>
        <v>07/20/20</v>
      </c>
      <c r="B872" t="s">
        <v>1700</v>
      </c>
      <c r="C872" t="str">
        <f>"21202"</f>
        <v>21202</v>
      </c>
      <c r="D872" t="str">
        <f>"4001 "</f>
        <v xml:space="preserve">4001 </v>
      </c>
      <c r="E872" t="str">
        <f>"001 "</f>
        <v xml:space="preserve">001 </v>
      </c>
      <c r="F872" t="s">
        <v>541</v>
      </c>
      <c r="G872" s="1">
        <v>1000</v>
      </c>
      <c r="H872" t="s">
        <v>33</v>
      </c>
      <c r="I872" t="s">
        <v>15</v>
      </c>
      <c r="J872" s="1">
        <v>330877.90000000002</v>
      </c>
    </row>
    <row r="873" spans="1:10" x14ac:dyDescent="0.25">
      <c r="A873" t="str">
        <f t="shared" si="61"/>
        <v>07/20/20</v>
      </c>
      <c r="B873" t="s">
        <v>1701</v>
      </c>
      <c r="C873" t="str">
        <f>"21207"</f>
        <v>21207</v>
      </c>
      <c r="D873" t="str">
        <f>"8331 "</f>
        <v xml:space="preserve">8331 </v>
      </c>
      <c r="E873" t="str">
        <f>"017 "</f>
        <v xml:space="preserve">017 </v>
      </c>
      <c r="F873" t="s">
        <v>1702</v>
      </c>
      <c r="G873" s="1">
        <v>53300</v>
      </c>
      <c r="H873" t="s">
        <v>137</v>
      </c>
      <c r="I873" t="s">
        <v>15</v>
      </c>
      <c r="J873" s="1">
        <v>11857.03</v>
      </c>
    </row>
    <row r="874" spans="1:10" x14ac:dyDescent="0.25">
      <c r="A874" t="str">
        <f t="shared" si="61"/>
        <v>07/20/20</v>
      </c>
      <c r="B874" t="s">
        <v>1703</v>
      </c>
      <c r="C874" t="str">
        <f>" ST 0"</f>
        <v xml:space="preserve"> ST 0</v>
      </c>
      <c r="D874" t="str">
        <f>"3800 "</f>
        <v xml:space="preserve">3800 </v>
      </c>
      <c r="E874" t="str">
        <f>"002A"</f>
        <v>002A</v>
      </c>
      <c r="F874" t="s">
        <v>1704</v>
      </c>
      <c r="G874" s="1">
        <v>54900</v>
      </c>
      <c r="H874" t="s">
        <v>161</v>
      </c>
      <c r="I874" t="s">
        <v>15</v>
      </c>
      <c r="J874" s="1">
        <v>482.79</v>
      </c>
    </row>
    <row r="875" spans="1:10" x14ac:dyDescent="0.25">
      <c r="A875" t="str">
        <f t="shared" si="61"/>
        <v>07/20/20</v>
      </c>
      <c r="B875" t="s">
        <v>1705</v>
      </c>
      <c r="C875" t="str">
        <f>"F OL4"</f>
        <v>F OL4</v>
      </c>
      <c r="D875" t="str">
        <f>"4053 "</f>
        <v xml:space="preserve">4053 </v>
      </c>
      <c r="E875" t="str">
        <f>"013 "</f>
        <v xml:space="preserve">013 </v>
      </c>
      <c r="F875" t="s">
        <v>1706</v>
      </c>
      <c r="G875" s="1">
        <v>9000</v>
      </c>
      <c r="H875" t="s">
        <v>248</v>
      </c>
      <c r="I875" t="s">
        <v>15</v>
      </c>
      <c r="J875" s="1">
        <v>908.54</v>
      </c>
    </row>
    <row r="876" spans="1:10" x14ac:dyDescent="0.25">
      <c r="A876" t="str">
        <f t="shared" si="61"/>
        <v>07/20/20</v>
      </c>
      <c r="B876" t="s">
        <v>1707</v>
      </c>
      <c r="C876" t="str">
        <f>" RD 0"</f>
        <v xml:space="preserve"> RD 0</v>
      </c>
      <c r="D876" t="str">
        <f>"4048A"</f>
        <v>4048A</v>
      </c>
      <c r="E876" t="str">
        <f>"001 "</f>
        <v xml:space="preserve">001 </v>
      </c>
      <c r="F876" t="s">
        <v>1708</v>
      </c>
      <c r="G876" s="1">
        <v>100</v>
      </c>
      <c r="H876" t="s">
        <v>14</v>
      </c>
      <c r="I876" t="s">
        <v>15</v>
      </c>
      <c r="J876" s="1">
        <v>541.9</v>
      </c>
    </row>
    <row r="877" spans="1:10" x14ac:dyDescent="0.25">
      <c r="A877" t="str">
        <f t="shared" si="61"/>
        <v>07/20/20</v>
      </c>
      <c r="B877" t="s">
        <v>1709</v>
      </c>
      <c r="C877" t="str">
        <f>"    0"</f>
        <v xml:space="preserve">    0</v>
      </c>
      <c r="D877" t="str">
        <f>"8207A"</f>
        <v>8207A</v>
      </c>
      <c r="E877" t="str">
        <f>"004 "</f>
        <v xml:space="preserve">004 </v>
      </c>
      <c r="F877" t="s">
        <v>1710</v>
      </c>
      <c r="G877" s="1">
        <v>12700</v>
      </c>
      <c r="H877" t="s">
        <v>124</v>
      </c>
      <c r="I877" t="s">
        <v>15</v>
      </c>
      <c r="J877" s="1">
        <v>96030.22</v>
      </c>
    </row>
    <row r="878" spans="1:10" x14ac:dyDescent="0.25">
      <c r="A878" t="str">
        <f t="shared" si="61"/>
        <v>07/20/20</v>
      </c>
      <c r="B878" t="s">
        <v>1711</v>
      </c>
      <c r="C878" t="str">
        <f>"    0"</f>
        <v xml:space="preserve">    0</v>
      </c>
      <c r="D878" t="str">
        <f>"2152 "</f>
        <v xml:space="preserve">2152 </v>
      </c>
      <c r="E878" t="str">
        <f>"004B"</f>
        <v>004B</v>
      </c>
      <c r="F878" t="s">
        <v>1712</v>
      </c>
      <c r="G878" s="1">
        <v>1800</v>
      </c>
      <c r="H878" t="s">
        <v>1035</v>
      </c>
      <c r="I878" t="s">
        <v>15</v>
      </c>
      <c r="J878" s="1">
        <v>2287.64</v>
      </c>
    </row>
    <row r="879" spans="1:10" x14ac:dyDescent="0.25">
      <c r="A879" t="str">
        <f t="shared" si="61"/>
        <v>07/20/20</v>
      </c>
      <c r="B879" t="s">
        <v>1713</v>
      </c>
      <c r="C879" t="str">
        <f>"    0"</f>
        <v xml:space="preserve">    0</v>
      </c>
      <c r="D879" t="str">
        <f>"2366 "</f>
        <v xml:space="preserve">2366 </v>
      </c>
      <c r="E879" t="str">
        <f>"029 "</f>
        <v xml:space="preserve">029 </v>
      </c>
      <c r="F879" t="s">
        <v>1714</v>
      </c>
      <c r="G879" s="1">
        <v>5300</v>
      </c>
      <c r="H879" t="s">
        <v>14</v>
      </c>
      <c r="I879" t="s">
        <v>15</v>
      </c>
      <c r="J879" s="1">
        <v>10088.129999999999</v>
      </c>
    </row>
    <row r="880" spans="1:10" x14ac:dyDescent="0.25">
      <c r="A880" t="str">
        <f t="shared" si="61"/>
        <v>07/20/20</v>
      </c>
      <c r="B880" t="s">
        <v>1715</v>
      </c>
      <c r="C880" t="str">
        <f>"TON 1"</f>
        <v>TON 1</v>
      </c>
      <c r="D880" t="str">
        <f>"0031 "</f>
        <v xml:space="preserve">0031 </v>
      </c>
      <c r="E880" t="str">
        <f>"073 "</f>
        <v xml:space="preserve">073 </v>
      </c>
      <c r="F880" t="s">
        <v>1716</v>
      </c>
      <c r="G880" s="1">
        <v>1000</v>
      </c>
      <c r="H880" t="s">
        <v>33</v>
      </c>
      <c r="I880" t="s">
        <v>15</v>
      </c>
      <c r="J880" s="1">
        <v>17029.990000000002</v>
      </c>
    </row>
    <row r="881" spans="1:10" x14ac:dyDescent="0.25">
      <c r="A881" t="str">
        <f t="shared" si="61"/>
        <v>07/20/20</v>
      </c>
      <c r="B881" t="s">
        <v>1717</v>
      </c>
      <c r="C881" t="str">
        <f>"F EL4"</f>
        <v>F EL4</v>
      </c>
      <c r="D881" t="str">
        <f>"4581 "</f>
        <v xml:space="preserve">4581 </v>
      </c>
      <c r="E881" t="str">
        <f>"038 "</f>
        <v xml:space="preserve">038 </v>
      </c>
      <c r="F881" t="s">
        <v>1718</v>
      </c>
      <c r="G881" s="1">
        <v>1000</v>
      </c>
      <c r="H881" t="s">
        <v>14</v>
      </c>
      <c r="I881" t="s">
        <v>15</v>
      </c>
      <c r="J881" s="1">
        <v>9706.34</v>
      </c>
    </row>
    <row r="882" spans="1:10" x14ac:dyDescent="0.25">
      <c r="A882" t="str">
        <f t="shared" si="61"/>
        <v>07/20/20</v>
      </c>
      <c r="B882" t="s">
        <v>1719</v>
      </c>
      <c r="C882" t="str">
        <f>"RIVE9"</f>
        <v>RIVE9</v>
      </c>
      <c r="D882" t="str">
        <f>"7612N"</f>
        <v>7612N</v>
      </c>
      <c r="E882" t="str">
        <f>"008 "</f>
        <v xml:space="preserve">008 </v>
      </c>
      <c r="F882" t="s">
        <v>1720</v>
      </c>
      <c r="G882" s="1">
        <v>215800</v>
      </c>
      <c r="H882" t="s">
        <v>700</v>
      </c>
      <c r="I882" t="s">
        <v>15</v>
      </c>
      <c r="J882" s="1">
        <v>201926.37</v>
      </c>
    </row>
    <row r="883" spans="1:10" x14ac:dyDescent="0.25">
      <c r="A883" t="str">
        <f t="shared" si="61"/>
        <v>07/20/20</v>
      </c>
      <c r="B883" t="s">
        <v>1721</v>
      </c>
      <c r="C883" t="str">
        <f>" NOR3"</f>
        <v xml:space="preserve"> NOR3</v>
      </c>
      <c r="D883" t="str">
        <f>"5263 "</f>
        <v xml:space="preserve">5263 </v>
      </c>
      <c r="E883" t="str">
        <f>"054A"</f>
        <v>054A</v>
      </c>
      <c r="F883" t="s">
        <v>1722</v>
      </c>
      <c r="G883" s="1">
        <v>3700</v>
      </c>
      <c r="H883" t="s">
        <v>14</v>
      </c>
      <c r="I883" t="s">
        <v>15</v>
      </c>
      <c r="J883" s="1">
        <v>1169.8900000000001</v>
      </c>
    </row>
    <row r="884" spans="1:10" x14ac:dyDescent="0.25">
      <c r="A884" t="str">
        <f t="shared" si="61"/>
        <v>07/20/20</v>
      </c>
      <c r="B884" t="s">
        <v>1723</v>
      </c>
      <c r="C884" t="str">
        <f>"AVE 0"</f>
        <v>AVE 0</v>
      </c>
      <c r="D884" t="str">
        <f>"2722 "</f>
        <v xml:space="preserve">2722 </v>
      </c>
      <c r="E884" t="str">
        <f>"024 "</f>
        <v xml:space="preserve">024 </v>
      </c>
      <c r="F884" t="s">
        <v>1724</v>
      </c>
      <c r="G884" s="1">
        <v>700</v>
      </c>
      <c r="H884" t="s">
        <v>91</v>
      </c>
      <c r="I884" t="s">
        <v>15</v>
      </c>
      <c r="J884" s="1">
        <v>385.57</v>
      </c>
    </row>
    <row r="885" spans="1:10" x14ac:dyDescent="0.25">
      <c r="A885" t="str">
        <f t="shared" si="61"/>
        <v>07/20/20</v>
      </c>
      <c r="B885" t="s">
        <v>1725</v>
      </c>
      <c r="C885" t="str">
        <f>"58 F3"</f>
        <v>58 F3</v>
      </c>
      <c r="D885" t="str">
        <f>"2301 "</f>
        <v xml:space="preserve">2301 </v>
      </c>
      <c r="E885" t="str">
        <f>"046C"</f>
        <v>046C</v>
      </c>
      <c r="F885" t="s">
        <v>726</v>
      </c>
      <c r="G885" s="1">
        <v>3000</v>
      </c>
      <c r="H885" t="s">
        <v>14</v>
      </c>
      <c r="I885" t="s">
        <v>15</v>
      </c>
      <c r="J885" s="1">
        <v>6934.07</v>
      </c>
    </row>
    <row r="886" spans="1:10" x14ac:dyDescent="0.25">
      <c r="A886" t="str">
        <f t="shared" si="61"/>
        <v>07/20/20</v>
      </c>
      <c r="B886" t="s">
        <v>1726</v>
      </c>
      <c r="C886" t="str">
        <f>"REAR0"</f>
        <v>REAR0</v>
      </c>
      <c r="D886" t="str">
        <f>"2169 "</f>
        <v xml:space="preserve">2169 </v>
      </c>
      <c r="E886" t="str">
        <f>"003 "</f>
        <v xml:space="preserve">003 </v>
      </c>
      <c r="F886" t="s">
        <v>1727</v>
      </c>
      <c r="G886" s="1">
        <v>16900</v>
      </c>
      <c r="H886" t="s">
        <v>1035</v>
      </c>
      <c r="I886" t="s">
        <v>15</v>
      </c>
      <c r="J886" s="1">
        <v>517.87</v>
      </c>
    </row>
    <row r="887" spans="1:10" x14ac:dyDescent="0.25">
      <c r="A887" t="str">
        <f t="shared" si="61"/>
        <v>07/20/20</v>
      </c>
      <c r="B887" t="s">
        <v>1728</v>
      </c>
      <c r="C887" t="str">
        <f>"AR  0"</f>
        <v>AR  0</v>
      </c>
      <c r="D887" t="str">
        <f>"1688 "</f>
        <v xml:space="preserve">1688 </v>
      </c>
      <c r="E887" t="str">
        <f>"075 "</f>
        <v xml:space="preserve">075 </v>
      </c>
      <c r="F887" t="s">
        <v>1729</v>
      </c>
      <c r="G887" s="1">
        <v>78300</v>
      </c>
      <c r="H887" t="s">
        <v>33</v>
      </c>
      <c r="I887" t="s">
        <v>15</v>
      </c>
      <c r="J887" s="1">
        <v>12914.46</v>
      </c>
    </row>
    <row r="888" spans="1:10" x14ac:dyDescent="0.25">
      <c r="A888" t="str">
        <f t="shared" si="61"/>
        <v>07/20/20</v>
      </c>
      <c r="B888" t="s">
        <v>1730</v>
      </c>
      <c r="C888" t="str">
        <f>"Y AV5"</f>
        <v>Y AV5</v>
      </c>
      <c r="D888" t="str">
        <f>"5148A"</f>
        <v>5148A</v>
      </c>
      <c r="E888" t="str">
        <f>"055A"</f>
        <v>055A</v>
      </c>
      <c r="F888" t="s">
        <v>1731</v>
      </c>
      <c r="G888" s="1">
        <v>11900</v>
      </c>
      <c r="H888" t="s">
        <v>14</v>
      </c>
      <c r="I888" t="s">
        <v>15</v>
      </c>
      <c r="J888" s="1">
        <v>11233.04</v>
      </c>
    </row>
    <row r="889" spans="1:10" x14ac:dyDescent="0.25">
      <c r="A889" t="str">
        <f t="shared" si="61"/>
        <v>07/20/20</v>
      </c>
      <c r="B889" t="s">
        <v>1732</v>
      </c>
      <c r="C889" t="str">
        <f>"AR  0"</f>
        <v>AR  0</v>
      </c>
      <c r="D889" t="str">
        <f>"1476B"</f>
        <v>1476B</v>
      </c>
      <c r="E889" t="str">
        <f>"075A"</f>
        <v>075A</v>
      </c>
      <c r="F889" t="s">
        <v>1733</v>
      </c>
      <c r="G889" s="1">
        <v>4100</v>
      </c>
      <c r="H889" t="s">
        <v>14</v>
      </c>
      <c r="I889" t="s">
        <v>15</v>
      </c>
      <c r="J889" s="1">
        <v>3574.09</v>
      </c>
    </row>
    <row r="890" spans="1:10" x14ac:dyDescent="0.25">
      <c r="A890" t="str">
        <f t="shared" si="61"/>
        <v>07/20/20</v>
      </c>
      <c r="B890" t="s">
        <v>1732</v>
      </c>
      <c r="C890" t="str">
        <f>"AR  0"</f>
        <v>AR  0</v>
      </c>
      <c r="D890" t="str">
        <f>"1476B"</f>
        <v>1476B</v>
      </c>
      <c r="E890" t="str">
        <f>"075B"</f>
        <v>075B</v>
      </c>
      <c r="F890" t="s">
        <v>1733</v>
      </c>
      <c r="G890" s="1">
        <v>2600</v>
      </c>
      <c r="H890" t="s">
        <v>14</v>
      </c>
      <c r="I890" t="s">
        <v>15</v>
      </c>
      <c r="J890" s="1">
        <v>1853.11</v>
      </c>
    </row>
    <row r="891" spans="1:10" x14ac:dyDescent="0.25">
      <c r="A891" t="str">
        <f t="shared" si="61"/>
        <v>07/20/20</v>
      </c>
      <c r="B891" t="s">
        <v>1734</v>
      </c>
      <c r="C891" t="str">
        <f>"3 FT0"</f>
        <v>3 FT0</v>
      </c>
      <c r="D891" t="str">
        <f>"2118 "</f>
        <v xml:space="preserve">2118 </v>
      </c>
      <c r="E891" t="str">
        <f>"073A"</f>
        <v>073A</v>
      </c>
      <c r="F891" t="s">
        <v>1735</v>
      </c>
      <c r="G891" s="1">
        <v>400</v>
      </c>
      <c r="H891" t="s">
        <v>14</v>
      </c>
      <c r="I891" t="s">
        <v>15</v>
      </c>
      <c r="J891" s="1">
        <v>1974.83</v>
      </c>
    </row>
    <row r="892" spans="1:10" x14ac:dyDescent="0.25">
      <c r="A892" t="str">
        <f t="shared" si="61"/>
        <v>07/20/20</v>
      </c>
      <c r="B892" t="s">
        <v>1736</v>
      </c>
      <c r="C892" t="str">
        <f>"AR  0"</f>
        <v>AR  0</v>
      </c>
      <c r="D892" t="str">
        <f>"3024 "</f>
        <v xml:space="preserve">3024 </v>
      </c>
      <c r="E892" t="str">
        <f>"038 "</f>
        <v xml:space="preserve">038 </v>
      </c>
      <c r="F892" t="s">
        <v>1737</v>
      </c>
      <c r="G892" s="1">
        <v>16200</v>
      </c>
      <c r="H892" t="s">
        <v>14</v>
      </c>
      <c r="I892" t="s">
        <v>34</v>
      </c>
      <c r="J892" s="1">
        <v>11480.7</v>
      </c>
    </row>
    <row r="893" spans="1:10" x14ac:dyDescent="0.25">
      <c r="A893" t="str">
        <f t="shared" si="61"/>
        <v>07/20/20</v>
      </c>
      <c r="B893" t="s">
        <v>1738</v>
      </c>
      <c r="C893" t="str">
        <f>"EAR 2"</f>
        <v>EAR 2</v>
      </c>
      <c r="D893" t="str">
        <f>"8393J"</f>
        <v>8393J</v>
      </c>
      <c r="E893" t="str">
        <f>"051 "</f>
        <v xml:space="preserve">051 </v>
      </c>
      <c r="F893" t="s">
        <v>1739</v>
      </c>
      <c r="G893" s="1">
        <v>10600</v>
      </c>
      <c r="H893" t="s">
        <v>74</v>
      </c>
      <c r="I893" t="s">
        <v>15</v>
      </c>
      <c r="J893" s="1">
        <v>4609.7700000000004</v>
      </c>
    </row>
    <row r="894" spans="1:10" x14ac:dyDescent="0.25">
      <c r="A894" t="str">
        <f t="shared" si="61"/>
        <v>07/20/20</v>
      </c>
      <c r="B894" t="s">
        <v>1740</v>
      </c>
      <c r="C894" t="str">
        <f>"95 F3"</f>
        <v>95 F3</v>
      </c>
      <c r="D894" t="str">
        <f>"2378 "</f>
        <v xml:space="preserve">2378 </v>
      </c>
      <c r="E894" t="str">
        <f>"042 "</f>
        <v xml:space="preserve">042 </v>
      </c>
      <c r="F894" t="s">
        <v>1741</v>
      </c>
      <c r="G894" s="1">
        <v>1100</v>
      </c>
      <c r="H894" t="s">
        <v>14</v>
      </c>
      <c r="I894" t="s">
        <v>15</v>
      </c>
      <c r="J894" s="1">
        <v>5671.01</v>
      </c>
    </row>
    <row r="895" spans="1:10" x14ac:dyDescent="0.25">
      <c r="A895" t="str">
        <f t="shared" si="61"/>
        <v>07/20/20</v>
      </c>
      <c r="B895" t="s">
        <v>1742</v>
      </c>
      <c r="C895" t="str">
        <f>"OF P6"</f>
        <v>OF P6</v>
      </c>
      <c r="D895" t="str">
        <f>"5695F"</f>
        <v>5695F</v>
      </c>
      <c r="E895" t="str">
        <f>"156 "</f>
        <v xml:space="preserve">156 </v>
      </c>
      <c r="F895" t="s">
        <v>1743</v>
      </c>
      <c r="G895" s="1">
        <v>2000</v>
      </c>
      <c r="H895" t="s">
        <v>14</v>
      </c>
      <c r="I895" t="s">
        <v>15</v>
      </c>
      <c r="J895" s="1">
        <v>3641.45</v>
      </c>
    </row>
    <row r="896" spans="1:10" x14ac:dyDescent="0.25">
      <c r="A896" t="str">
        <f t="shared" si="61"/>
        <v>07/20/20</v>
      </c>
      <c r="B896" t="s">
        <v>1744</v>
      </c>
      <c r="C896" t="str">
        <f>"NG A5"</f>
        <v>NG A5</v>
      </c>
      <c r="D896" t="str">
        <f>"4265 "</f>
        <v xml:space="preserve">4265 </v>
      </c>
      <c r="E896" t="str">
        <f>"001A"</f>
        <v>001A</v>
      </c>
      <c r="F896" t="s">
        <v>1616</v>
      </c>
      <c r="G896" s="1">
        <v>800</v>
      </c>
      <c r="H896" t="s">
        <v>74</v>
      </c>
      <c r="I896" t="s">
        <v>15</v>
      </c>
      <c r="J896" s="1">
        <v>682.4</v>
      </c>
    </row>
    <row r="897" spans="1:10" x14ac:dyDescent="0.25">
      <c r="A897" t="str">
        <f t="shared" si="61"/>
        <v>07/20/20</v>
      </c>
      <c r="B897" t="s">
        <v>1745</v>
      </c>
      <c r="C897" t="str">
        <f>" KEE5"</f>
        <v xml:space="preserve"> KEE5</v>
      </c>
      <c r="D897" t="str">
        <f>"5763 "</f>
        <v xml:space="preserve">5763 </v>
      </c>
      <c r="E897" t="str">
        <f>"049 "</f>
        <v xml:space="preserve">049 </v>
      </c>
      <c r="F897" t="s">
        <v>1746</v>
      </c>
      <c r="G897" s="1">
        <v>12400</v>
      </c>
      <c r="H897" t="s">
        <v>74</v>
      </c>
      <c r="I897" t="s">
        <v>15</v>
      </c>
      <c r="J897" s="1">
        <v>902.22</v>
      </c>
    </row>
    <row r="898" spans="1:10" x14ac:dyDescent="0.25">
      <c r="A898" t="str">
        <f t="shared" si="61"/>
        <v>07/20/20</v>
      </c>
      <c r="B898" t="s">
        <v>1747</v>
      </c>
      <c r="C898" t="str">
        <f>"GA P2"</f>
        <v>GA P2</v>
      </c>
      <c r="D898" t="str">
        <f>"3262C"</f>
        <v>3262C</v>
      </c>
      <c r="E898" t="str">
        <f>"058 "</f>
        <v xml:space="preserve">058 </v>
      </c>
      <c r="F898" t="s">
        <v>1748</v>
      </c>
      <c r="G898" s="1">
        <v>1400</v>
      </c>
      <c r="H898" t="s">
        <v>14</v>
      </c>
      <c r="I898" t="s">
        <v>15</v>
      </c>
      <c r="J898" s="1">
        <v>735.63</v>
      </c>
    </row>
    <row r="899" spans="1:10" x14ac:dyDescent="0.25">
      <c r="A899" t="str">
        <f t="shared" ref="A899:A962" si="63">"07/20/20"</f>
        <v>07/20/20</v>
      </c>
      <c r="B899" t="s">
        <v>1749</v>
      </c>
      <c r="C899" t="str">
        <f>"DERE0"</f>
        <v>DERE0</v>
      </c>
      <c r="D899" t="str">
        <f>"4552 "</f>
        <v xml:space="preserve">4552 </v>
      </c>
      <c r="E899" t="str">
        <f>"120 "</f>
        <v xml:space="preserve">120 </v>
      </c>
      <c r="F899" t="s">
        <v>1750</v>
      </c>
      <c r="G899" s="1">
        <v>9400</v>
      </c>
      <c r="H899" t="s">
        <v>91</v>
      </c>
      <c r="I899" t="s">
        <v>15</v>
      </c>
      <c r="J899" s="1">
        <v>843.27</v>
      </c>
    </row>
    <row r="900" spans="1:10" x14ac:dyDescent="0.25">
      <c r="A900" t="str">
        <f t="shared" si="63"/>
        <v>07/20/20</v>
      </c>
      <c r="B900" t="s">
        <v>1751</v>
      </c>
      <c r="C900" t="str">
        <f>"FALL2"</f>
        <v>FALL2</v>
      </c>
      <c r="D900" t="str">
        <f>"2826B"</f>
        <v>2826B</v>
      </c>
      <c r="E900" t="str">
        <f>"034 "</f>
        <v xml:space="preserve">034 </v>
      </c>
      <c r="F900" t="s">
        <v>1752</v>
      </c>
      <c r="G900" s="1">
        <v>4000</v>
      </c>
      <c r="H900" t="s">
        <v>124</v>
      </c>
      <c r="I900" t="s">
        <v>15</v>
      </c>
      <c r="J900" s="1">
        <v>1572.23</v>
      </c>
    </row>
    <row r="901" spans="1:10" x14ac:dyDescent="0.25">
      <c r="A901" t="str">
        <f t="shared" si="63"/>
        <v>07/20/20</v>
      </c>
      <c r="B901" t="s">
        <v>1753</v>
      </c>
      <c r="C901" t="str">
        <f>"21215"</f>
        <v>21215</v>
      </c>
      <c r="D901" t="str">
        <f>"2717A"</f>
        <v>2717A</v>
      </c>
      <c r="E901" t="str">
        <f>"049 "</f>
        <v xml:space="preserve">049 </v>
      </c>
      <c r="F901" t="s">
        <v>599</v>
      </c>
      <c r="G901" s="1">
        <v>199800</v>
      </c>
      <c r="H901" t="s">
        <v>74</v>
      </c>
      <c r="I901" t="s">
        <v>15</v>
      </c>
      <c r="J901" s="1">
        <v>145971.25</v>
      </c>
    </row>
    <row r="902" spans="1:10" x14ac:dyDescent="0.25">
      <c r="A902" t="str">
        <f t="shared" si="63"/>
        <v>07/20/20</v>
      </c>
      <c r="B902" t="s">
        <v>1754</v>
      </c>
      <c r="C902" t="str">
        <f>"21215"</f>
        <v>21215</v>
      </c>
      <c r="D902" t="str">
        <f>"2708 "</f>
        <v xml:space="preserve">2708 </v>
      </c>
      <c r="E902" t="str">
        <f>"017 "</f>
        <v xml:space="preserve">017 </v>
      </c>
      <c r="F902" t="s">
        <v>1235</v>
      </c>
      <c r="G902" s="1">
        <v>262900</v>
      </c>
      <c r="H902" t="s">
        <v>74</v>
      </c>
      <c r="I902" t="s">
        <v>15</v>
      </c>
      <c r="J902" s="1">
        <v>64467.74</v>
      </c>
    </row>
    <row r="903" spans="1:10" x14ac:dyDescent="0.25">
      <c r="A903" t="str">
        <f t="shared" si="63"/>
        <v>07/20/20</v>
      </c>
      <c r="B903" t="s">
        <v>1755</v>
      </c>
      <c r="C903" t="str">
        <f>"21215"</f>
        <v>21215</v>
      </c>
      <c r="D903" t="str">
        <f>"2960 "</f>
        <v xml:space="preserve">2960 </v>
      </c>
      <c r="E903" t="str">
        <f>"028 "</f>
        <v xml:space="preserve">028 </v>
      </c>
      <c r="F903" t="s">
        <v>1756</v>
      </c>
      <c r="G903" s="1">
        <v>18700</v>
      </c>
      <c r="H903" t="s">
        <v>91</v>
      </c>
      <c r="I903" t="s">
        <v>15</v>
      </c>
      <c r="J903" s="1">
        <v>90348.77</v>
      </c>
    </row>
    <row r="904" spans="1:10" x14ac:dyDescent="0.25">
      <c r="A904" t="str">
        <f t="shared" si="63"/>
        <v>07/20/20</v>
      </c>
      <c r="B904" t="s">
        <v>1757</v>
      </c>
      <c r="C904" t="str">
        <f>"21215"</f>
        <v>21215</v>
      </c>
      <c r="D904" t="str">
        <f>"4616 "</f>
        <v xml:space="preserve">4616 </v>
      </c>
      <c r="E904" t="str">
        <f>"067 "</f>
        <v xml:space="preserve">067 </v>
      </c>
      <c r="F904" t="s">
        <v>1758</v>
      </c>
      <c r="G904" s="1">
        <v>30000</v>
      </c>
      <c r="H904" t="s">
        <v>14</v>
      </c>
      <c r="I904" t="s">
        <v>15</v>
      </c>
      <c r="J904" s="1">
        <v>13957.02</v>
      </c>
    </row>
    <row r="905" spans="1:10" x14ac:dyDescent="0.25">
      <c r="A905" t="str">
        <f t="shared" si="63"/>
        <v>07/20/20</v>
      </c>
      <c r="B905" t="s">
        <v>1759</v>
      </c>
      <c r="C905" t="str">
        <f>"21215"</f>
        <v>21215</v>
      </c>
      <c r="D905" t="str">
        <f>"4747A"</f>
        <v>4747A</v>
      </c>
      <c r="E905" t="str">
        <f>"023 "</f>
        <v xml:space="preserve">023 </v>
      </c>
      <c r="F905" t="s">
        <v>1760</v>
      </c>
      <c r="G905" s="1">
        <v>91200</v>
      </c>
      <c r="H905" t="s">
        <v>14</v>
      </c>
      <c r="I905" t="s">
        <v>15</v>
      </c>
      <c r="J905" s="1">
        <v>56261.64</v>
      </c>
    </row>
    <row r="906" spans="1:10" x14ac:dyDescent="0.25">
      <c r="A906" t="str">
        <f t="shared" si="63"/>
        <v>07/20/20</v>
      </c>
      <c r="B906" t="s">
        <v>1761</v>
      </c>
      <c r="C906" t="str">
        <f t="shared" ref="C906:C911" si="64">"21229"</f>
        <v>21229</v>
      </c>
      <c r="D906" t="str">
        <f>"2256 "</f>
        <v xml:space="preserve">2256 </v>
      </c>
      <c r="E906" t="str">
        <f>"001 "</f>
        <v xml:space="preserve">001 </v>
      </c>
      <c r="F906" t="s">
        <v>1762</v>
      </c>
      <c r="G906" s="1">
        <v>16900</v>
      </c>
      <c r="H906" t="s">
        <v>91</v>
      </c>
      <c r="I906" t="s">
        <v>15</v>
      </c>
      <c r="J906" s="1">
        <v>2373.1999999999998</v>
      </c>
    </row>
    <row r="907" spans="1:10" x14ac:dyDescent="0.25">
      <c r="A907" t="str">
        <f t="shared" si="63"/>
        <v>07/20/20</v>
      </c>
      <c r="B907" t="s">
        <v>1763</v>
      </c>
      <c r="C907" t="str">
        <f t="shared" si="64"/>
        <v>21229</v>
      </c>
      <c r="D907" t="str">
        <f>"2244A"</f>
        <v>2244A</v>
      </c>
      <c r="E907" t="str">
        <f>"032 "</f>
        <v xml:space="preserve">032 </v>
      </c>
      <c r="F907" t="s">
        <v>1248</v>
      </c>
      <c r="G907" s="1">
        <v>18300</v>
      </c>
      <c r="H907" t="s">
        <v>91</v>
      </c>
      <c r="I907" t="s">
        <v>15</v>
      </c>
      <c r="J907" s="1">
        <v>1356.64</v>
      </c>
    </row>
    <row r="908" spans="1:10" x14ac:dyDescent="0.25">
      <c r="A908" t="str">
        <f t="shared" si="63"/>
        <v>07/20/20</v>
      </c>
      <c r="B908" t="s">
        <v>1764</v>
      </c>
      <c r="C908" t="str">
        <f t="shared" si="64"/>
        <v>21229</v>
      </c>
      <c r="D908" t="str">
        <f>"2244A"</f>
        <v>2244A</v>
      </c>
      <c r="E908" t="str">
        <f>"033 "</f>
        <v xml:space="preserve">033 </v>
      </c>
      <c r="F908" t="s">
        <v>1765</v>
      </c>
      <c r="G908" s="1">
        <v>90200</v>
      </c>
      <c r="H908" t="s">
        <v>91</v>
      </c>
      <c r="I908" t="s">
        <v>15</v>
      </c>
      <c r="J908" s="1">
        <v>41327.660000000003</v>
      </c>
    </row>
    <row r="909" spans="1:10" x14ac:dyDescent="0.25">
      <c r="A909" t="str">
        <f t="shared" si="63"/>
        <v>07/20/20</v>
      </c>
      <c r="B909" t="s">
        <v>1766</v>
      </c>
      <c r="C909" t="str">
        <f t="shared" si="64"/>
        <v>21229</v>
      </c>
      <c r="D909" t="str">
        <f>"2244A"</f>
        <v>2244A</v>
      </c>
      <c r="E909" t="str">
        <f>"030 "</f>
        <v xml:space="preserve">030 </v>
      </c>
      <c r="F909" t="s">
        <v>1767</v>
      </c>
      <c r="G909" s="1">
        <v>87900</v>
      </c>
      <c r="H909" t="s">
        <v>91</v>
      </c>
      <c r="I909" t="s">
        <v>15</v>
      </c>
      <c r="J909" s="1">
        <v>37381.589999999997</v>
      </c>
    </row>
    <row r="910" spans="1:10" x14ac:dyDescent="0.25">
      <c r="A910" t="str">
        <f t="shared" si="63"/>
        <v>07/20/20</v>
      </c>
      <c r="B910" t="s">
        <v>1768</v>
      </c>
      <c r="C910" t="str">
        <f t="shared" si="64"/>
        <v>21229</v>
      </c>
      <c r="D910" t="str">
        <f>"2244A"</f>
        <v>2244A</v>
      </c>
      <c r="E910" t="str">
        <f>"023 "</f>
        <v xml:space="preserve">023 </v>
      </c>
      <c r="F910" t="s">
        <v>1769</v>
      </c>
      <c r="G910" s="1">
        <v>52700</v>
      </c>
      <c r="H910" t="s">
        <v>91</v>
      </c>
      <c r="I910" t="s">
        <v>34</v>
      </c>
      <c r="J910" s="1">
        <v>3279.5</v>
      </c>
    </row>
    <row r="911" spans="1:10" x14ac:dyDescent="0.25">
      <c r="A911" t="str">
        <f t="shared" si="63"/>
        <v>07/20/20</v>
      </c>
      <c r="B911" t="s">
        <v>1770</v>
      </c>
      <c r="C911" t="str">
        <f t="shared" si="64"/>
        <v>21229</v>
      </c>
      <c r="D911" t="str">
        <f>"2243C"</f>
        <v>2243C</v>
      </c>
      <c r="E911" t="str">
        <f>"001A"</f>
        <v>001A</v>
      </c>
      <c r="F911" t="s">
        <v>1771</v>
      </c>
      <c r="G911" s="1">
        <v>72000</v>
      </c>
      <c r="H911" t="s">
        <v>91</v>
      </c>
      <c r="I911" t="s">
        <v>15</v>
      </c>
      <c r="J911" s="1">
        <v>48162.18</v>
      </c>
    </row>
    <row r="912" spans="1:10" x14ac:dyDescent="0.25">
      <c r="A912" t="str">
        <f t="shared" si="63"/>
        <v>07/20/20</v>
      </c>
      <c r="B912" t="s">
        <v>1772</v>
      </c>
      <c r="C912" t="str">
        <f>"21212"</f>
        <v>21212</v>
      </c>
      <c r="D912" t="str">
        <f>"5212 "</f>
        <v xml:space="preserve">5212 </v>
      </c>
      <c r="E912" t="str">
        <f>"014 "</f>
        <v xml:space="preserve">014 </v>
      </c>
      <c r="F912" t="s">
        <v>1773</v>
      </c>
      <c r="G912" s="1">
        <v>10900</v>
      </c>
      <c r="H912" t="s">
        <v>14</v>
      </c>
      <c r="I912" t="s">
        <v>15</v>
      </c>
      <c r="J912" s="1">
        <v>84621.42</v>
      </c>
    </row>
    <row r="913" spans="1:10" x14ac:dyDescent="0.25">
      <c r="A913" t="str">
        <f t="shared" si="63"/>
        <v>07/20/20</v>
      </c>
      <c r="B913" t="s">
        <v>1774</v>
      </c>
      <c r="C913" t="str">
        <f>"21217"</f>
        <v>21217</v>
      </c>
      <c r="D913" t="str">
        <f>"3244 "</f>
        <v xml:space="preserve">3244 </v>
      </c>
      <c r="E913" t="str">
        <f>"029 "</f>
        <v xml:space="preserve">029 </v>
      </c>
      <c r="F913" t="s">
        <v>599</v>
      </c>
      <c r="G913" s="1">
        <v>73600</v>
      </c>
      <c r="H913" t="s">
        <v>33</v>
      </c>
      <c r="I913" t="s">
        <v>34</v>
      </c>
      <c r="J913" s="1">
        <v>290394.19</v>
      </c>
    </row>
    <row r="914" spans="1:10" x14ac:dyDescent="0.25">
      <c r="A914" t="str">
        <f t="shared" si="63"/>
        <v>07/20/20</v>
      </c>
      <c r="B914" t="s">
        <v>1775</v>
      </c>
      <c r="C914" t="str">
        <f>"21229"</f>
        <v>21229</v>
      </c>
      <c r="D914" t="str">
        <f>"2243B"</f>
        <v>2243B</v>
      </c>
      <c r="E914" t="str">
        <f>"047 "</f>
        <v xml:space="preserve">047 </v>
      </c>
      <c r="F914" t="s">
        <v>1776</v>
      </c>
      <c r="G914" s="1">
        <v>57900</v>
      </c>
      <c r="H914" t="s">
        <v>91</v>
      </c>
      <c r="I914" t="s">
        <v>34</v>
      </c>
      <c r="J914" s="1">
        <v>42806.06</v>
      </c>
    </row>
    <row r="915" spans="1:10" x14ac:dyDescent="0.25">
      <c r="A915" t="str">
        <f t="shared" si="63"/>
        <v>07/20/20</v>
      </c>
      <c r="B915" t="s">
        <v>1777</v>
      </c>
      <c r="C915" t="str">
        <f t="shared" ref="C915:C921" si="65">"21215"</f>
        <v>21215</v>
      </c>
      <c r="D915" t="str">
        <f>"3327C"</f>
        <v>3327C</v>
      </c>
      <c r="E915" t="str">
        <f>"014 "</f>
        <v xml:space="preserve">014 </v>
      </c>
      <c r="F915" t="s">
        <v>1778</v>
      </c>
      <c r="G915" s="1">
        <v>6000</v>
      </c>
      <c r="H915" t="s">
        <v>14</v>
      </c>
      <c r="I915" t="s">
        <v>15</v>
      </c>
      <c r="J915" s="1">
        <v>43103.08</v>
      </c>
    </row>
    <row r="916" spans="1:10" x14ac:dyDescent="0.25">
      <c r="A916" t="str">
        <f t="shared" si="63"/>
        <v>07/20/20</v>
      </c>
      <c r="B916" t="s">
        <v>1779</v>
      </c>
      <c r="C916" t="str">
        <f t="shared" si="65"/>
        <v>21215</v>
      </c>
      <c r="D916" t="str">
        <f>"3321 "</f>
        <v xml:space="preserve">3321 </v>
      </c>
      <c r="E916" t="str">
        <f>"017 "</f>
        <v xml:space="preserve">017 </v>
      </c>
      <c r="F916" t="s">
        <v>1780</v>
      </c>
      <c r="G916" s="1">
        <v>5000</v>
      </c>
      <c r="H916" t="s">
        <v>14</v>
      </c>
      <c r="I916" t="s">
        <v>15</v>
      </c>
      <c r="J916" s="1">
        <v>2178.98</v>
      </c>
    </row>
    <row r="917" spans="1:10" x14ac:dyDescent="0.25">
      <c r="A917" t="str">
        <f t="shared" si="63"/>
        <v>07/20/20</v>
      </c>
      <c r="B917" t="s">
        <v>1781</v>
      </c>
      <c r="C917" t="str">
        <f t="shared" si="65"/>
        <v>21215</v>
      </c>
      <c r="D917" t="str">
        <f>"3335 "</f>
        <v xml:space="preserve">3335 </v>
      </c>
      <c r="E917" t="str">
        <f>"016 "</f>
        <v xml:space="preserve">016 </v>
      </c>
      <c r="F917" t="s">
        <v>1782</v>
      </c>
      <c r="G917" s="1">
        <v>14100</v>
      </c>
      <c r="H917" t="s">
        <v>14</v>
      </c>
      <c r="I917" t="s">
        <v>15</v>
      </c>
      <c r="J917" s="1">
        <v>111474.99</v>
      </c>
    </row>
    <row r="918" spans="1:10" x14ac:dyDescent="0.25">
      <c r="A918" t="str">
        <f t="shared" si="63"/>
        <v>07/20/20</v>
      </c>
      <c r="B918" t="s">
        <v>1783</v>
      </c>
      <c r="C918" t="str">
        <f t="shared" si="65"/>
        <v>21215</v>
      </c>
      <c r="D918" t="str">
        <f>"3327C"</f>
        <v>3327C</v>
      </c>
      <c r="E918" t="str">
        <f>"026 "</f>
        <v xml:space="preserve">026 </v>
      </c>
      <c r="F918" t="s">
        <v>1784</v>
      </c>
      <c r="G918" s="1">
        <v>14100</v>
      </c>
      <c r="H918" t="s">
        <v>14</v>
      </c>
      <c r="I918" t="s">
        <v>15</v>
      </c>
      <c r="J918" s="1">
        <v>23813.63</v>
      </c>
    </row>
    <row r="919" spans="1:10" x14ac:dyDescent="0.25">
      <c r="A919" t="str">
        <f t="shared" si="63"/>
        <v>07/20/20</v>
      </c>
      <c r="B919" t="s">
        <v>1785</v>
      </c>
      <c r="C919" t="str">
        <f t="shared" si="65"/>
        <v>21215</v>
      </c>
      <c r="D919" t="str">
        <f>"3327C"</f>
        <v>3327C</v>
      </c>
      <c r="E919" t="str">
        <f>"015 "</f>
        <v xml:space="preserve">015 </v>
      </c>
      <c r="F919" t="s">
        <v>1786</v>
      </c>
      <c r="G919" s="1">
        <v>6000</v>
      </c>
      <c r="H919" t="s">
        <v>14</v>
      </c>
      <c r="I919" t="s">
        <v>15</v>
      </c>
      <c r="J919" s="1">
        <v>67541.37</v>
      </c>
    </row>
    <row r="920" spans="1:10" x14ac:dyDescent="0.25">
      <c r="A920" t="str">
        <f t="shared" si="63"/>
        <v>07/20/20</v>
      </c>
      <c r="B920" t="s">
        <v>1787</v>
      </c>
      <c r="C920" t="str">
        <f t="shared" si="65"/>
        <v>21215</v>
      </c>
      <c r="D920" t="str">
        <f>"3322 "</f>
        <v xml:space="preserve">3322 </v>
      </c>
      <c r="E920" t="str">
        <f>"013 "</f>
        <v xml:space="preserve">013 </v>
      </c>
      <c r="F920" t="s">
        <v>1788</v>
      </c>
      <c r="G920" s="1">
        <v>6000</v>
      </c>
      <c r="H920" t="s">
        <v>14</v>
      </c>
      <c r="I920" t="s">
        <v>15</v>
      </c>
      <c r="J920" s="1">
        <v>19497.29</v>
      </c>
    </row>
    <row r="921" spans="1:10" x14ac:dyDescent="0.25">
      <c r="A921" t="str">
        <f t="shared" si="63"/>
        <v>07/20/20</v>
      </c>
      <c r="B921" t="s">
        <v>1789</v>
      </c>
      <c r="C921" t="str">
        <f t="shared" si="65"/>
        <v>21215</v>
      </c>
      <c r="D921" t="str">
        <f>"3347E"</f>
        <v>3347E</v>
      </c>
      <c r="E921" t="str">
        <f>"023 "</f>
        <v xml:space="preserve">023 </v>
      </c>
      <c r="F921" t="s">
        <v>1790</v>
      </c>
      <c r="G921" s="1">
        <v>5000</v>
      </c>
      <c r="H921" t="s">
        <v>14</v>
      </c>
      <c r="I921" t="s">
        <v>34</v>
      </c>
      <c r="J921" s="1">
        <v>27948.12</v>
      </c>
    </row>
    <row r="922" spans="1:10" x14ac:dyDescent="0.25">
      <c r="A922" t="str">
        <f t="shared" si="63"/>
        <v>07/20/20</v>
      </c>
      <c r="B922" t="s">
        <v>1791</v>
      </c>
      <c r="C922" t="str">
        <f>"21225"</f>
        <v>21225</v>
      </c>
      <c r="D922" t="str">
        <f>"7087 "</f>
        <v xml:space="preserve">7087 </v>
      </c>
      <c r="E922" t="str">
        <f>"015 "</f>
        <v xml:space="preserve">015 </v>
      </c>
      <c r="F922" t="s">
        <v>1792</v>
      </c>
      <c r="G922" s="1">
        <v>40000</v>
      </c>
      <c r="H922" t="s">
        <v>950</v>
      </c>
      <c r="I922" t="s">
        <v>34</v>
      </c>
      <c r="J922" s="1">
        <v>15973.21</v>
      </c>
    </row>
    <row r="923" spans="1:10" x14ac:dyDescent="0.25">
      <c r="A923" t="str">
        <f t="shared" si="63"/>
        <v>07/20/20</v>
      </c>
      <c r="B923" t="s">
        <v>1793</v>
      </c>
      <c r="C923" t="str">
        <f>"21205"</f>
        <v>21205</v>
      </c>
      <c r="D923" t="str">
        <f>"1623 "</f>
        <v xml:space="preserve">1623 </v>
      </c>
      <c r="E923" t="str">
        <f>"047 "</f>
        <v xml:space="preserve">047 </v>
      </c>
      <c r="F923" t="s">
        <v>1794</v>
      </c>
      <c r="G923" s="1">
        <v>2000</v>
      </c>
      <c r="H923" t="s">
        <v>142</v>
      </c>
      <c r="I923" t="s">
        <v>15</v>
      </c>
      <c r="J923" s="1">
        <v>50095.360000000001</v>
      </c>
    </row>
    <row r="924" spans="1:10" x14ac:dyDescent="0.25">
      <c r="A924" t="str">
        <f t="shared" si="63"/>
        <v>07/20/20</v>
      </c>
      <c r="B924" t="s">
        <v>1795</v>
      </c>
      <c r="C924" t="str">
        <f>"21205"</f>
        <v>21205</v>
      </c>
      <c r="D924" t="str">
        <f>"1622 "</f>
        <v xml:space="preserve">1622 </v>
      </c>
      <c r="E924" t="str">
        <f>"001 "</f>
        <v xml:space="preserve">001 </v>
      </c>
      <c r="F924" t="s">
        <v>1302</v>
      </c>
      <c r="G924" s="1">
        <v>7000</v>
      </c>
      <c r="H924" t="s">
        <v>33</v>
      </c>
      <c r="I924" t="s">
        <v>15</v>
      </c>
      <c r="J924" s="1">
        <v>1903.11</v>
      </c>
    </row>
    <row r="925" spans="1:10" x14ac:dyDescent="0.25">
      <c r="A925" t="str">
        <f t="shared" si="63"/>
        <v>07/20/20</v>
      </c>
      <c r="B925" t="s">
        <v>1796</v>
      </c>
      <c r="C925" t="str">
        <f>"21205"</f>
        <v>21205</v>
      </c>
      <c r="D925" t="str">
        <f>"1607 "</f>
        <v xml:space="preserve">1607 </v>
      </c>
      <c r="E925" t="str">
        <f>"002 "</f>
        <v xml:space="preserve">002 </v>
      </c>
      <c r="F925" t="s">
        <v>1797</v>
      </c>
      <c r="G925" s="1">
        <v>2000</v>
      </c>
      <c r="H925" t="s">
        <v>33</v>
      </c>
      <c r="I925" t="s">
        <v>15</v>
      </c>
      <c r="J925" s="1">
        <v>497665.69</v>
      </c>
    </row>
    <row r="926" spans="1:10" x14ac:dyDescent="0.25">
      <c r="A926" t="str">
        <f t="shared" si="63"/>
        <v>07/20/20</v>
      </c>
      <c r="B926" t="s">
        <v>1798</v>
      </c>
      <c r="C926" t="str">
        <f>"21205"</f>
        <v>21205</v>
      </c>
      <c r="D926" t="str">
        <f>"1607 "</f>
        <v xml:space="preserve">1607 </v>
      </c>
      <c r="E926" t="str">
        <f>"001 "</f>
        <v xml:space="preserve">001 </v>
      </c>
      <c r="F926" t="s">
        <v>1799</v>
      </c>
      <c r="G926" s="1">
        <v>2000</v>
      </c>
      <c r="H926" t="s">
        <v>33</v>
      </c>
      <c r="I926" t="s">
        <v>15</v>
      </c>
      <c r="J926" s="1">
        <v>258923.28</v>
      </c>
    </row>
    <row r="927" spans="1:10" x14ac:dyDescent="0.25">
      <c r="A927" t="str">
        <f t="shared" si="63"/>
        <v>07/20/20</v>
      </c>
      <c r="B927" t="s">
        <v>1800</v>
      </c>
      <c r="C927" t="str">
        <f>"21217"</f>
        <v>21217</v>
      </c>
      <c r="D927" t="str">
        <f>"3210 "</f>
        <v xml:space="preserve">3210 </v>
      </c>
      <c r="E927" t="str">
        <f>"034 "</f>
        <v xml:space="preserve">034 </v>
      </c>
      <c r="F927" t="s">
        <v>1801</v>
      </c>
      <c r="G927" s="1">
        <v>1000</v>
      </c>
      <c r="H927" t="s">
        <v>33</v>
      </c>
      <c r="I927" t="s">
        <v>15</v>
      </c>
      <c r="J927" s="1">
        <v>42637.31</v>
      </c>
    </row>
    <row r="928" spans="1:10" x14ac:dyDescent="0.25">
      <c r="A928" t="str">
        <f t="shared" si="63"/>
        <v>07/20/20</v>
      </c>
      <c r="B928" t="s">
        <v>1802</v>
      </c>
      <c r="C928" t="str">
        <f>"21223"</f>
        <v>21223</v>
      </c>
      <c r="D928" t="str">
        <f>"0719A"</f>
        <v>0719A</v>
      </c>
      <c r="E928" t="str">
        <f>"021 "</f>
        <v xml:space="preserve">021 </v>
      </c>
      <c r="F928" t="s">
        <v>1803</v>
      </c>
      <c r="G928" s="1">
        <v>6000</v>
      </c>
      <c r="H928" t="s">
        <v>33</v>
      </c>
      <c r="I928" t="s">
        <v>34</v>
      </c>
      <c r="J928" s="1">
        <v>12721.94</v>
      </c>
    </row>
    <row r="929" spans="1:10" x14ac:dyDescent="0.25">
      <c r="A929" t="str">
        <f t="shared" si="63"/>
        <v>07/20/20</v>
      </c>
      <c r="B929" t="s">
        <v>1804</v>
      </c>
      <c r="C929" t="str">
        <f>"21223"</f>
        <v>21223</v>
      </c>
      <c r="D929" t="str">
        <f>"0698 "</f>
        <v xml:space="preserve">0698 </v>
      </c>
      <c r="E929" t="str">
        <f>"019 "</f>
        <v xml:space="preserve">019 </v>
      </c>
      <c r="F929" t="s">
        <v>1805</v>
      </c>
      <c r="G929" s="1">
        <v>6000</v>
      </c>
      <c r="H929" t="s">
        <v>33</v>
      </c>
      <c r="I929" t="s">
        <v>34</v>
      </c>
      <c r="J929" s="1">
        <v>23851.99</v>
      </c>
    </row>
    <row r="930" spans="1:10" x14ac:dyDescent="0.25">
      <c r="A930" t="str">
        <f t="shared" si="63"/>
        <v>07/20/20</v>
      </c>
      <c r="B930" t="s">
        <v>1806</v>
      </c>
      <c r="C930" t="str">
        <f>"21223"</f>
        <v>21223</v>
      </c>
      <c r="D930" t="str">
        <f>"0699 "</f>
        <v xml:space="preserve">0699 </v>
      </c>
      <c r="E930" t="str">
        <f>"039 "</f>
        <v xml:space="preserve">039 </v>
      </c>
      <c r="F930" t="s">
        <v>1807</v>
      </c>
      <c r="G930" s="1">
        <v>15000</v>
      </c>
      <c r="H930" t="s">
        <v>33</v>
      </c>
      <c r="I930" t="s">
        <v>34</v>
      </c>
      <c r="J930" s="1">
        <v>1368.48</v>
      </c>
    </row>
    <row r="931" spans="1:10" x14ac:dyDescent="0.25">
      <c r="A931" t="str">
        <f t="shared" si="63"/>
        <v>07/20/20</v>
      </c>
      <c r="B931" t="s">
        <v>1808</v>
      </c>
      <c r="C931" t="str">
        <f>"21223"</f>
        <v>21223</v>
      </c>
      <c r="D931" t="str">
        <f>"0699 "</f>
        <v xml:space="preserve">0699 </v>
      </c>
      <c r="E931" t="str">
        <f>"031 "</f>
        <v xml:space="preserve">031 </v>
      </c>
      <c r="F931" t="s">
        <v>1809</v>
      </c>
      <c r="G931" s="1">
        <v>6000</v>
      </c>
      <c r="H931" t="s">
        <v>33</v>
      </c>
      <c r="I931" t="s">
        <v>34</v>
      </c>
      <c r="J931" s="1">
        <v>25876.37</v>
      </c>
    </row>
    <row r="932" spans="1:10" x14ac:dyDescent="0.25">
      <c r="A932" t="str">
        <f t="shared" si="63"/>
        <v>07/20/20</v>
      </c>
      <c r="B932" t="s">
        <v>1810</v>
      </c>
      <c r="C932" t="str">
        <f t="shared" ref="C932:C940" si="66">"21217"</f>
        <v>21217</v>
      </c>
      <c r="D932" t="str">
        <f>"0082 "</f>
        <v xml:space="preserve">0082 </v>
      </c>
      <c r="E932" t="str">
        <f>"045 "</f>
        <v xml:space="preserve">045 </v>
      </c>
      <c r="F932" t="s">
        <v>1811</v>
      </c>
      <c r="G932" s="1">
        <v>1000</v>
      </c>
      <c r="H932" t="s">
        <v>33</v>
      </c>
      <c r="I932" t="s">
        <v>15</v>
      </c>
      <c r="J932" s="1">
        <v>19051.93</v>
      </c>
    </row>
    <row r="933" spans="1:10" x14ac:dyDescent="0.25">
      <c r="A933" t="str">
        <f t="shared" si="63"/>
        <v>07/20/20</v>
      </c>
      <c r="B933" t="s">
        <v>1812</v>
      </c>
      <c r="C933" t="str">
        <f t="shared" si="66"/>
        <v>21217</v>
      </c>
      <c r="D933" t="str">
        <f>"0082 "</f>
        <v xml:space="preserve">0082 </v>
      </c>
      <c r="E933" t="str">
        <f>"046 "</f>
        <v xml:space="preserve">046 </v>
      </c>
      <c r="F933" t="s">
        <v>1813</v>
      </c>
      <c r="G933" s="1">
        <v>1000</v>
      </c>
      <c r="H933" t="s">
        <v>33</v>
      </c>
      <c r="I933" t="s">
        <v>15</v>
      </c>
      <c r="J933" s="1">
        <v>22551.9</v>
      </c>
    </row>
    <row r="934" spans="1:10" x14ac:dyDescent="0.25">
      <c r="A934" t="str">
        <f t="shared" si="63"/>
        <v>07/20/20</v>
      </c>
      <c r="B934" t="s">
        <v>1814</v>
      </c>
      <c r="C934" t="str">
        <f t="shared" si="66"/>
        <v>21217</v>
      </c>
      <c r="D934" t="str">
        <f>"0070 "</f>
        <v xml:space="preserve">0070 </v>
      </c>
      <c r="E934" t="str">
        <f>"017 "</f>
        <v xml:space="preserve">017 </v>
      </c>
      <c r="F934" t="s">
        <v>1815</v>
      </c>
      <c r="G934" s="1">
        <v>1000</v>
      </c>
      <c r="H934" t="s">
        <v>33</v>
      </c>
      <c r="I934" t="s">
        <v>15</v>
      </c>
      <c r="J934" s="1">
        <v>101216.36</v>
      </c>
    </row>
    <row r="935" spans="1:10" x14ac:dyDescent="0.25">
      <c r="A935" t="str">
        <f t="shared" si="63"/>
        <v>07/20/20</v>
      </c>
      <c r="B935" t="s">
        <v>1816</v>
      </c>
      <c r="C935" t="str">
        <f t="shared" si="66"/>
        <v>21217</v>
      </c>
      <c r="D935" t="str">
        <f>"0083 "</f>
        <v xml:space="preserve">0083 </v>
      </c>
      <c r="E935" t="str">
        <f>"038 "</f>
        <v xml:space="preserve">038 </v>
      </c>
      <c r="F935" t="s">
        <v>1817</v>
      </c>
      <c r="G935" s="1">
        <v>15000</v>
      </c>
      <c r="H935" t="s">
        <v>33</v>
      </c>
      <c r="I935" t="s">
        <v>34</v>
      </c>
      <c r="J935" s="1">
        <v>33508.559999999998</v>
      </c>
    </row>
    <row r="936" spans="1:10" x14ac:dyDescent="0.25">
      <c r="A936" t="str">
        <f t="shared" si="63"/>
        <v>07/20/20</v>
      </c>
      <c r="B936" t="s">
        <v>1818</v>
      </c>
      <c r="C936" t="str">
        <f t="shared" si="66"/>
        <v>21217</v>
      </c>
      <c r="D936" t="str">
        <f>"0002 "</f>
        <v xml:space="preserve">0002 </v>
      </c>
      <c r="E936" t="str">
        <f>"048 "</f>
        <v xml:space="preserve">048 </v>
      </c>
      <c r="F936" t="s">
        <v>1819</v>
      </c>
      <c r="G936" s="1">
        <v>19000</v>
      </c>
      <c r="H936" t="s">
        <v>30</v>
      </c>
      <c r="I936" t="s">
        <v>15</v>
      </c>
      <c r="J936" s="1">
        <v>10629.96</v>
      </c>
    </row>
    <row r="937" spans="1:10" x14ac:dyDescent="0.25">
      <c r="A937" t="str">
        <f t="shared" si="63"/>
        <v>07/20/20</v>
      </c>
      <c r="B937" t="s">
        <v>1820</v>
      </c>
      <c r="C937" t="str">
        <f t="shared" si="66"/>
        <v>21217</v>
      </c>
      <c r="D937" t="str">
        <f>"0007 "</f>
        <v xml:space="preserve">0007 </v>
      </c>
      <c r="E937" t="str">
        <f>"070 "</f>
        <v xml:space="preserve">070 </v>
      </c>
      <c r="F937" t="s">
        <v>1821</v>
      </c>
      <c r="G937" s="1">
        <v>38000</v>
      </c>
      <c r="H937" t="s">
        <v>30</v>
      </c>
      <c r="I937" t="s">
        <v>34</v>
      </c>
      <c r="J937" s="1">
        <v>31741.91</v>
      </c>
    </row>
    <row r="938" spans="1:10" x14ac:dyDescent="0.25">
      <c r="A938" t="str">
        <f t="shared" si="63"/>
        <v>07/20/20</v>
      </c>
      <c r="B938" t="s">
        <v>1822</v>
      </c>
      <c r="C938" t="str">
        <f t="shared" si="66"/>
        <v>21217</v>
      </c>
      <c r="D938" t="str">
        <f>"0019 "</f>
        <v xml:space="preserve">0019 </v>
      </c>
      <c r="E938" t="str">
        <f>"004 "</f>
        <v xml:space="preserve">004 </v>
      </c>
      <c r="F938" t="s">
        <v>1823</v>
      </c>
      <c r="G938" s="1">
        <v>4000</v>
      </c>
      <c r="H938" t="s">
        <v>14</v>
      </c>
      <c r="I938" t="s">
        <v>34</v>
      </c>
      <c r="J938" s="1">
        <v>42219.92</v>
      </c>
    </row>
    <row r="939" spans="1:10" x14ac:dyDescent="0.25">
      <c r="A939" t="str">
        <f t="shared" si="63"/>
        <v>07/20/20</v>
      </c>
      <c r="B939" t="s">
        <v>1824</v>
      </c>
      <c r="C939" t="str">
        <f t="shared" si="66"/>
        <v>21217</v>
      </c>
      <c r="D939" t="str">
        <f>"0019 "</f>
        <v xml:space="preserve">0019 </v>
      </c>
      <c r="E939" t="str">
        <f>"002 "</f>
        <v xml:space="preserve">002 </v>
      </c>
      <c r="F939" t="s">
        <v>1825</v>
      </c>
      <c r="G939" s="1">
        <v>4000</v>
      </c>
      <c r="H939" t="s">
        <v>14</v>
      </c>
      <c r="I939" t="s">
        <v>34</v>
      </c>
      <c r="J939" s="1">
        <v>14439.42</v>
      </c>
    </row>
    <row r="940" spans="1:10" x14ac:dyDescent="0.25">
      <c r="A940" t="str">
        <f t="shared" si="63"/>
        <v>07/20/20</v>
      </c>
      <c r="B940" t="s">
        <v>1826</v>
      </c>
      <c r="C940" t="str">
        <f t="shared" si="66"/>
        <v>21217</v>
      </c>
      <c r="D940" t="str">
        <f>"0012 "</f>
        <v xml:space="preserve">0012 </v>
      </c>
      <c r="E940" t="str">
        <f>"005 "</f>
        <v xml:space="preserve">005 </v>
      </c>
      <c r="F940" t="s">
        <v>1827</v>
      </c>
      <c r="G940" s="1">
        <v>11000</v>
      </c>
      <c r="H940" t="s">
        <v>30</v>
      </c>
      <c r="I940" t="s">
        <v>34</v>
      </c>
      <c r="J940" s="1">
        <v>10652.2</v>
      </c>
    </row>
    <row r="941" spans="1:10" x14ac:dyDescent="0.25">
      <c r="A941" t="str">
        <f t="shared" si="63"/>
        <v>07/20/20</v>
      </c>
      <c r="B941" t="s">
        <v>1828</v>
      </c>
      <c r="C941" t="str">
        <f>"21223"</f>
        <v>21223</v>
      </c>
      <c r="D941" t="str">
        <f>"0258 "</f>
        <v xml:space="preserve">0258 </v>
      </c>
      <c r="E941" t="str">
        <f>"046 "</f>
        <v xml:space="preserve">046 </v>
      </c>
      <c r="F941" t="s">
        <v>233</v>
      </c>
      <c r="G941" s="1">
        <v>6000</v>
      </c>
      <c r="H941" t="s">
        <v>33</v>
      </c>
      <c r="I941" t="s">
        <v>34</v>
      </c>
      <c r="J941" s="1">
        <v>3033.87</v>
      </c>
    </row>
    <row r="942" spans="1:10" x14ac:dyDescent="0.25">
      <c r="A942" t="str">
        <f t="shared" si="63"/>
        <v>07/20/20</v>
      </c>
      <c r="B942" t="s">
        <v>1829</v>
      </c>
      <c r="C942" t="str">
        <f>"21223"</f>
        <v>21223</v>
      </c>
      <c r="D942" t="str">
        <f>"0207 "</f>
        <v xml:space="preserve">0207 </v>
      </c>
      <c r="E942" t="str">
        <f>"027 "</f>
        <v xml:space="preserve">027 </v>
      </c>
      <c r="F942" t="s">
        <v>1830</v>
      </c>
      <c r="G942" s="1">
        <v>3000</v>
      </c>
      <c r="H942" t="s">
        <v>33</v>
      </c>
      <c r="I942" t="s">
        <v>34</v>
      </c>
      <c r="J942" s="1">
        <v>12704.58</v>
      </c>
    </row>
    <row r="943" spans="1:10" x14ac:dyDescent="0.25">
      <c r="A943" t="str">
        <f t="shared" si="63"/>
        <v>07/20/20</v>
      </c>
      <c r="B943" t="s">
        <v>1831</v>
      </c>
      <c r="C943" t="str">
        <f>"21223"</f>
        <v>21223</v>
      </c>
      <c r="D943" t="str">
        <f>"0192 "</f>
        <v xml:space="preserve">0192 </v>
      </c>
      <c r="E943" t="str">
        <f>"069 "</f>
        <v xml:space="preserve">069 </v>
      </c>
      <c r="F943" t="s">
        <v>1832</v>
      </c>
      <c r="G943" s="1">
        <v>1000</v>
      </c>
      <c r="H943" t="s">
        <v>33</v>
      </c>
      <c r="I943" t="s">
        <v>15</v>
      </c>
      <c r="J943" s="1">
        <v>30750.13</v>
      </c>
    </row>
    <row r="944" spans="1:10" x14ac:dyDescent="0.25">
      <c r="A944" t="str">
        <f t="shared" si="63"/>
        <v>07/20/20</v>
      </c>
      <c r="B944" t="s">
        <v>1833</v>
      </c>
      <c r="C944" t="str">
        <f>"21223"</f>
        <v>21223</v>
      </c>
      <c r="D944" t="str">
        <f>"0273 "</f>
        <v xml:space="preserve">0273 </v>
      </c>
      <c r="E944" t="str">
        <f>"009 "</f>
        <v xml:space="preserve">009 </v>
      </c>
      <c r="F944" t="s">
        <v>233</v>
      </c>
      <c r="G944" s="1">
        <v>6000</v>
      </c>
      <c r="H944" t="s">
        <v>33</v>
      </c>
      <c r="I944" t="s">
        <v>34</v>
      </c>
      <c r="J944" s="1">
        <v>3348.31</v>
      </c>
    </row>
    <row r="945" spans="1:10" x14ac:dyDescent="0.25">
      <c r="A945" t="str">
        <f t="shared" si="63"/>
        <v>07/20/20</v>
      </c>
      <c r="B945" t="s">
        <v>1834</v>
      </c>
      <c r="C945" t="str">
        <f>"21223"</f>
        <v>21223</v>
      </c>
      <c r="D945" t="str">
        <f>"0176 "</f>
        <v xml:space="preserve">0176 </v>
      </c>
      <c r="E945" t="str">
        <f>"044 "</f>
        <v xml:space="preserve">044 </v>
      </c>
      <c r="F945" t="s">
        <v>1835</v>
      </c>
      <c r="G945" s="1">
        <v>1000</v>
      </c>
      <c r="H945" t="s">
        <v>30</v>
      </c>
      <c r="I945" t="s">
        <v>15</v>
      </c>
      <c r="J945" s="1">
        <v>98267.01</v>
      </c>
    </row>
    <row r="946" spans="1:10" x14ac:dyDescent="0.25">
      <c r="A946" t="str">
        <f t="shared" si="63"/>
        <v>07/20/20</v>
      </c>
      <c r="B946" t="s">
        <v>1836</v>
      </c>
      <c r="C946" t="str">
        <f>"21217"</f>
        <v>21217</v>
      </c>
      <c r="D946" t="str">
        <f>"0094 "</f>
        <v xml:space="preserve">0094 </v>
      </c>
      <c r="E946" t="str">
        <f>"003 "</f>
        <v xml:space="preserve">003 </v>
      </c>
      <c r="F946" t="s">
        <v>1837</v>
      </c>
      <c r="G946" s="1">
        <v>5000</v>
      </c>
      <c r="H946" t="s">
        <v>33</v>
      </c>
      <c r="I946" t="s">
        <v>34</v>
      </c>
      <c r="J946" s="1">
        <v>61306.38</v>
      </c>
    </row>
    <row r="947" spans="1:10" x14ac:dyDescent="0.25">
      <c r="A947" t="str">
        <f t="shared" si="63"/>
        <v>07/20/20</v>
      </c>
      <c r="B947" t="s">
        <v>1838</v>
      </c>
      <c r="C947" t="str">
        <f>"21223"</f>
        <v>21223</v>
      </c>
      <c r="D947" t="str">
        <f>"0107 "</f>
        <v xml:space="preserve">0107 </v>
      </c>
      <c r="E947" t="str">
        <f>"051 "</f>
        <v xml:space="preserve">051 </v>
      </c>
      <c r="F947" t="s">
        <v>1839</v>
      </c>
      <c r="G947" s="1">
        <v>1000</v>
      </c>
      <c r="H947" t="s">
        <v>33</v>
      </c>
      <c r="I947" t="s">
        <v>15</v>
      </c>
      <c r="J947" s="1">
        <v>135527.59</v>
      </c>
    </row>
    <row r="948" spans="1:10" x14ac:dyDescent="0.25">
      <c r="A948" t="str">
        <f t="shared" si="63"/>
        <v>07/20/20</v>
      </c>
      <c r="B948" t="s">
        <v>1840</v>
      </c>
      <c r="C948" t="str">
        <f t="shared" ref="C948:C954" si="67">"21217"</f>
        <v>21217</v>
      </c>
      <c r="D948" t="str">
        <f>"0095 "</f>
        <v xml:space="preserve">0095 </v>
      </c>
      <c r="E948" t="str">
        <f>"041 "</f>
        <v xml:space="preserve">041 </v>
      </c>
      <c r="F948" t="s">
        <v>1841</v>
      </c>
      <c r="G948" s="1">
        <v>15000</v>
      </c>
      <c r="H948" t="s">
        <v>33</v>
      </c>
      <c r="I948" t="s">
        <v>34</v>
      </c>
      <c r="J948" s="1">
        <v>25144.880000000001</v>
      </c>
    </row>
    <row r="949" spans="1:10" x14ac:dyDescent="0.25">
      <c r="A949" t="str">
        <f t="shared" si="63"/>
        <v>07/20/20</v>
      </c>
      <c r="B949" t="s">
        <v>1842</v>
      </c>
      <c r="C949" t="str">
        <f t="shared" si="67"/>
        <v>21217</v>
      </c>
      <c r="D949" t="str">
        <f>"3404 "</f>
        <v xml:space="preserve">3404 </v>
      </c>
      <c r="E949" t="str">
        <f>"056 "</f>
        <v xml:space="preserve">056 </v>
      </c>
      <c r="F949" t="s">
        <v>1843</v>
      </c>
      <c r="G949" s="1">
        <v>2400</v>
      </c>
      <c r="H949" t="s">
        <v>791</v>
      </c>
      <c r="I949" t="s">
        <v>15</v>
      </c>
      <c r="J949" s="1">
        <v>162010.01</v>
      </c>
    </row>
    <row r="950" spans="1:10" x14ac:dyDescent="0.25">
      <c r="A950" t="str">
        <f t="shared" si="63"/>
        <v>07/20/20</v>
      </c>
      <c r="B950" t="s">
        <v>1844</v>
      </c>
      <c r="C950" t="str">
        <f t="shared" si="67"/>
        <v>21217</v>
      </c>
      <c r="D950" t="str">
        <f>"3404 "</f>
        <v xml:space="preserve">3404 </v>
      </c>
      <c r="E950" t="str">
        <f>"055 "</f>
        <v xml:space="preserve">055 </v>
      </c>
      <c r="F950" t="s">
        <v>1845</v>
      </c>
      <c r="G950" s="1">
        <v>2300</v>
      </c>
      <c r="H950" t="s">
        <v>791</v>
      </c>
      <c r="I950" t="s">
        <v>15</v>
      </c>
      <c r="J950" s="1">
        <v>153721.03</v>
      </c>
    </row>
    <row r="951" spans="1:10" x14ac:dyDescent="0.25">
      <c r="A951" t="str">
        <f t="shared" si="63"/>
        <v>07/20/20</v>
      </c>
      <c r="B951" t="s">
        <v>1846</v>
      </c>
      <c r="C951" t="str">
        <f t="shared" si="67"/>
        <v>21217</v>
      </c>
      <c r="D951" t="str">
        <f>"3404 "</f>
        <v xml:space="preserve">3404 </v>
      </c>
      <c r="E951" t="str">
        <f>"057 "</f>
        <v xml:space="preserve">057 </v>
      </c>
      <c r="F951" t="s">
        <v>1847</v>
      </c>
      <c r="G951" s="1">
        <v>2400</v>
      </c>
      <c r="H951" t="s">
        <v>791</v>
      </c>
      <c r="I951" t="s">
        <v>15</v>
      </c>
      <c r="J951" s="1">
        <v>51249.61</v>
      </c>
    </row>
    <row r="952" spans="1:10" x14ac:dyDescent="0.25">
      <c r="A952" t="str">
        <f t="shared" si="63"/>
        <v>07/20/20</v>
      </c>
      <c r="B952" t="s">
        <v>1848</v>
      </c>
      <c r="C952" t="str">
        <f t="shared" si="67"/>
        <v>21217</v>
      </c>
      <c r="D952" t="str">
        <f>"3403 "</f>
        <v xml:space="preserve">3403 </v>
      </c>
      <c r="E952" t="str">
        <f>"013 "</f>
        <v xml:space="preserve">013 </v>
      </c>
      <c r="F952" t="s">
        <v>1849</v>
      </c>
      <c r="G952" s="1">
        <v>7900</v>
      </c>
      <c r="H952" t="s">
        <v>142</v>
      </c>
      <c r="I952" t="s">
        <v>15</v>
      </c>
      <c r="J952" s="1">
        <v>86005.61</v>
      </c>
    </row>
    <row r="953" spans="1:10" x14ac:dyDescent="0.25">
      <c r="A953" t="str">
        <f t="shared" si="63"/>
        <v>07/20/20</v>
      </c>
      <c r="B953" t="s">
        <v>1850</v>
      </c>
      <c r="C953" t="str">
        <f t="shared" si="67"/>
        <v>21217</v>
      </c>
      <c r="D953" t="str">
        <f>"3402 "</f>
        <v xml:space="preserve">3402 </v>
      </c>
      <c r="E953" t="str">
        <f>"001 "</f>
        <v xml:space="preserve">001 </v>
      </c>
      <c r="F953" t="s">
        <v>1851</v>
      </c>
      <c r="G953" s="1">
        <v>40500</v>
      </c>
      <c r="H953" t="s">
        <v>142</v>
      </c>
      <c r="I953" t="s">
        <v>15</v>
      </c>
      <c r="J953" s="1">
        <v>51117.66</v>
      </c>
    </row>
    <row r="954" spans="1:10" x14ac:dyDescent="0.25">
      <c r="A954" t="str">
        <f t="shared" si="63"/>
        <v>07/20/20</v>
      </c>
      <c r="B954" t="s">
        <v>1852</v>
      </c>
      <c r="C954" t="str">
        <f t="shared" si="67"/>
        <v>21217</v>
      </c>
      <c r="D954" t="str">
        <f>"3403 "</f>
        <v xml:space="preserve">3403 </v>
      </c>
      <c r="E954" t="str">
        <f>"021 "</f>
        <v xml:space="preserve">021 </v>
      </c>
      <c r="F954" t="s">
        <v>1853</v>
      </c>
      <c r="G954" s="1">
        <v>78300</v>
      </c>
      <c r="H954" t="s">
        <v>142</v>
      </c>
      <c r="I954" t="s">
        <v>15</v>
      </c>
      <c r="J954" s="1">
        <v>25705.14</v>
      </c>
    </row>
    <row r="955" spans="1:10" x14ac:dyDescent="0.25">
      <c r="A955" t="str">
        <f t="shared" si="63"/>
        <v>07/20/20</v>
      </c>
      <c r="B955" t="s">
        <v>1854</v>
      </c>
      <c r="C955" t="str">
        <f>"21223"</f>
        <v>21223</v>
      </c>
      <c r="D955" t="str">
        <f>"0162 "</f>
        <v xml:space="preserve">0162 </v>
      </c>
      <c r="E955" t="str">
        <f>"057 "</f>
        <v xml:space="preserve">057 </v>
      </c>
      <c r="F955" t="s">
        <v>1855</v>
      </c>
      <c r="G955" s="1">
        <v>38000</v>
      </c>
      <c r="H955" t="s">
        <v>30</v>
      </c>
      <c r="I955" t="s">
        <v>34</v>
      </c>
      <c r="J955" s="1">
        <v>48790.23</v>
      </c>
    </row>
    <row r="956" spans="1:10" x14ac:dyDescent="0.25">
      <c r="A956" t="str">
        <f t="shared" si="63"/>
        <v>07/20/20</v>
      </c>
      <c r="B956" t="s">
        <v>1856</v>
      </c>
      <c r="C956" t="str">
        <f>"21223"</f>
        <v>21223</v>
      </c>
      <c r="D956" t="str">
        <f>"0162 "</f>
        <v xml:space="preserve">0162 </v>
      </c>
      <c r="E956" t="str">
        <f>"040 "</f>
        <v xml:space="preserve">040 </v>
      </c>
      <c r="F956" t="s">
        <v>1857</v>
      </c>
      <c r="G956" s="1">
        <v>2000</v>
      </c>
      <c r="H956" t="s">
        <v>30</v>
      </c>
      <c r="I956" t="s">
        <v>34</v>
      </c>
      <c r="J956" s="1">
        <v>38138.639999999999</v>
      </c>
    </row>
    <row r="957" spans="1:10" x14ac:dyDescent="0.25">
      <c r="A957" t="str">
        <f t="shared" si="63"/>
        <v>07/20/20</v>
      </c>
      <c r="B957" t="s">
        <v>1858</v>
      </c>
      <c r="C957" t="str">
        <f>"21223"</f>
        <v>21223</v>
      </c>
      <c r="D957" t="str">
        <f>"2218 "</f>
        <v xml:space="preserve">2218 </v>
      </c>
      <c r="E957" t="str">
        <f>"064 "</f>
        <v xml:space="preserve">064 </v>
      </c>
      <c r="F957" t="s">
        <v>1859</v>
      </c>
      <c r="G957" s="1">
        <v>1000</v>
      </c>
      <c r="H957" t="s">
        <v>30</v>
      </c>
      <c r="I957" t="s">
        <v>15</v>
      </c>
      <c r="J957" s="1">
        <v>100746.17</v>
      </c>
    </row>
    <row r="958" spans="1:10" x14ac:dyDescent="0.25">
      <c r="A958" t="str">
        <f t="shared" si="63"/>
        <v>07/20/20</v>
      </c>
      <c r="B958" t="s">
        <v>1860</v>
      </c>
      <c r="C958" t="str">
        <f t="shared" ref="C958:C965" si="68">"21216"</f>
        <v>21216</v>
      </c>
      <c r="D958" t="str">
        <f>"2406 "</f>
        <v xml:space="preserve">2406 </v>
      </c>
      <c r="E958" t="str">
        <f>"047 "</f>
        <v xml:space="preserve">047 </v>
      </c>
      <c r="F958" t="s">
        <v>1861</v>
      </c>
      <c r="G958" s="1">
        <v>7000</v>
      </c>
      <c r="H958" t="s">
        <v>14</v>
      </c>
      <c r="I958" t="s">
        <v>34</v>
      </c>
      <c r="J958" s="1">
        <v>21589.81</v>
      </c>
    </row>
    <row r="959" spans="1:10" x14ac:dyDescent="0.25">
      <c r="A959" t="str">
        <f t="shared" si="63"/>
        <v>07/20/20</v>
      </c>
      <c r="B959" t="s">
        <v>1862</v>
      </c>
      <c r="C959" t="str">
        <f t="shared" si="68"/>
        <v>21216</v>
      </c>
      <c r="D959" t="str">
        <f>"2388 "</f>
        <v xml:space="preserve">2388 </v>
      </c>
      <c r="E959" t="str">
        <f>"033 "</f>
        <v xml:space="preserve">033 </v>
      </c>
      <c r="F959" t="s">
        <v>1863</v>
      </c>
      <c r="G959" s="1">
        <v>3000</v>
      </c>
      <c r="H959" t="s">
        <v>14</v>
      </c>
      <c r="I959" t="s">
        <v>34</v>
      </c>
      <c r="J959" s="1">
        <v>315660.07</v>
      </c>
    </row>
    <row r="960" spans="1:10" x14ac:dyDescent="0.25">
      <c r="A960" t="str">
        <f t="shared" si="63"/>
        <v>07/20/20</v>
      </c>
      <c r="B960" t="s">
        <v>1864</v>
      </c>
      <c r="C960" t="str">
        <f t="shared" si="68"/>
        <v>21216</v>
      </c>
      <c r="D960" t="str">
        <f>"2449 "</f>
        <v xml:space="preserve">2449 </v>
      </c>
      <c r="E960" t="str">
        <f>"017 "</f>
        <v xml:space="preserve">017 </v>
      </c>
      <c r="F960" t="s">
        <v>599</v>
      </c>
      <c r="G960" s="1">
        <v>5000</v>
      </c>
      <c r="H960" t="s">
        <v>14</v>
      </c>
      <c r="I960" t="s">
        <v>34</v>
      </c>
      <c r="J960" s="1">
        <v>262475.73</v>
      </c>
    </row>
    <row r="961" spans="1:10" x14ac:dyDescent="0.25">
      <c r="A961" t="str">
        <f t="shared" si="63"/>
        <v>07/20/20</v>
      </c>
      <c r="B961" t="s">
        <v>1865</v>
      </c>
      <c r="C961" t="str">
        <f t="shared" si="68"/>
        <v>21216</v>
      </c>
      <c r="D961" t="str">
        <f>"2443A"</f>
        <v>2443A</v>
      </c>
      <c r="E961" t="str">
        <f>"007 "</f>
        <v xml:space="preserve">007 </v>
      </c>
      <c r="F961" t="s">
        <v>1866</v>
      </c>
      <c r="G961" s="1">
        <v>17000</v>
      </c>
      <c r="H961" t="s">
        <v>14</v>
      </c>
      <c r="I961" t="s">
        <v>15</v>
      </c>
      <c r="J961" s="1">
        <v>7459.47</v>
      </c>
    </row>
    <row r="962" spans="1:10" x14ac:dyDescent="0.25">
      <c r="A962" t="str">
        <f t="shared" si="63"/>
        <v>07/20/20</v>
      </c>
      <c r="B962" t="s">
        <v>1867</v>
      </c>
      <c r="C962" t="str">
        <f t="shared" si="68"/>
        <v>21216</v>
      </c>
      <c r="D962" t="str">
        <f>"2445 "</f>
        <v xml:space="preserve">2445 </v>
      </c>
      <c r="E962" t="str">
        <f>"013 "</f>
        <v xml:space="preserve">013 </v>
      </c>
      <c r="F962" t="s">
        <v>1868</v>
      </c>
      <c r="G962" s="1">
        <v>17000</v>
      </c>
      <c r="H962" t="s">
        <v>14</v>
      </c>
      <c r="I962" t="s">
        <v>15</v>
      </c>
      <c r="J962" s="1">
        <v>177196.02</v>
      </c>
    </row>
    <row r="963" spans="1:10" x14ac:dyDescent="0.25">
      <c r="A963" t="str">
        <f t="shared" ref="A963:A1026" si="69">"07/20/20"</f>
        <v>07/20/20</v>
      </c>
      <c r="B963" t="s">
        <v>1869</v>
      </c>
      <c r="C963" t="str">
        <f t="shared" si="68"/>
        <v>21216</v>
      </c>
      <c r="D963" t="str">
        <f>"2411 "</f>
        <v xml:space="preserve">2411 </v>
      </c>
      <c r="E963" t="str">
        <f>"004 "</f>
        <v xml:space="preserve">004 </v>
      </c>
      <c r="F963" t="s">
        <v>1870</v>
      </c>
      <c r="G963" s="1">
        <v>7000</v>
      </c>
      <c r="H963" t="s">
        <v>14</v>
      </c>
      <c r="I963" t="s">
        <v>34</v>
      </c>
      <c r="J963" s="1">
        <v>5005.7299999999996</v>
      </c>
    </row>
    <row r="964" spans="1:10" x14ac:dyDescent="0.25">
      <c r="A964" t="str">
        <f t="shared" si="69"/>
        <v>07/20/20</v>
      </c>
      <c r="B964" t="s">
        <v>1871</v>
      </c>
      <c r="C964" t="str">
        <f t="shared" si="68"/>
        <v>21216</v>
      </c>
      <c r="D964" t="str">
        <f>"2407 "</f>
        <v xml:space="preserve">2407 </v>
      </c>
      <c r="E964" t="str">
        <f>"005 "</f>
        <v xml:space="preserve">005 </v>
      </c>
      <c r="F964" t="s">
        <v>489</v>
      </c>
      <c r="G964" s="1">
        <v>7000</v>
      </c>
      <c r="H964" t="s">
        <v>14</v>
      </c>
      <c r="I964" t="s">
        <v>34</v>
      </c>
      <c r="J964" s="1">
        <v>3210.08</v>
      </c>
    </row>
    <row r="965" spans="1:10" x14ac:dyDescent="0.25">
      <c r="A965" t="str">
        <f t="shared" si="69"/>
        <v>07/20/20</v>
      </c>
      <c r="B965" t="s">
        <v>1872</v>
      </c>
      <c r="C965" t="str">
        <f t="shared" si="68"/>
        <v>21216</v>
      </c>
      <c r="D965" t="str">
        <f>"2482B"</f>
        <v>2482B</v>
      </c>
      <c r="E965" t="str">
        <f>"039 "</f>
        <v xml:space="preserve">039 </v>
      </c>
      <c r="F965" t="s">
        <v>1873</v>
      </c>
      <c r="G965" s="1">
        <v>1000</v>
      </c>
      <c r="H965" t="s">
        <v>142</v>
      </c>
      <c r="I965" t="s">
        <v>15</v>
      </c>
      <c r="J965" s="1">
        <v>111580.01</v>
      </c>
    </row>
    <row r="966" spans="1:10" x14ac:dyDescent="0.25">
      <c r="A966" t="str">
        <f t="shared" si="69"/>
        <v>07/20/20</v>
      </c>
      <c r="B966" t="s">
        <v>1874</v>
      </c>
      <c r="C966" t="str">
        <f>"21213"</f>
        <v>21213</v>
      </c>
      <c r="D966" t="str">
        <f>"1520 "</f>
        <v xml:space="preserve">1520 </v>
      </c>
      <c r="E966" t="str">
        <f>"070 "</f>
        <v xml:space="preserve">070 </v>
      </c>
      <c r="F966" t="s">
        <v>1875</v>
      </c>
      <c r="G966" s="1">
        <v>1000</v>
      </c>
      <c r="H966" t="s">
        <v>33</v>
      </c>
      <c r="I966" t="s">
        <v>15</v>
      </c>
      <c r="J966" s="1">
        <v>238205.76</v>
      </c>
    </row>
    <row r="967" spans="1:10" x14ac:dyDescent="0.25">
      <c r="A967" t="str">
        <f t="shared" si="69"/>
        <v>07/20/20</v>
      </c>
      <c r="B967" t="s">
        <v>1876</v>
      </c>
      <c r="C967" t="str">
        <f>"21223"</f>
        <v>21223</v>
      </c>
      <c r="D967" t="str">
        <f>"0261 "</f>
        <v xml:space="preserve">0261 </v>
      </c>
      <c r="E967" t="str">
        <f>"010 "</f>
        <v xml:space="preserve">010 </v>
      </c>
      <c r="F967" t="s">
        <v>1877</v>
      </c>
      <c r="G967" s="1">
        <v>1000</v>
      </c>
      <c r="H967" t="s">
        <v>33</v>
      </c>
      <c r="I967" t="s">
        <v>15</v>
      </c>
      <c r="J967" s="1">
        <v>29104.36</v>
      </c>
    </row>
    <row r="968" spans="1:10" x14ac:dyDescent="0.25">
      <c r="A968" t="str">
        <f t="shared" si="69"/>
        <v>07/20/20</v>
      </c>
      <c r="B968" t="s">
        <v>1878</v>
      </c>
      <c r="C968" t="str">
        <f>"21223"</f>
        <v>21223</v>
      </c>
      <c r="D968" t="str">
        <f>"0260 "</f>
        <v xml:space="preserve">0260 </v>
      </c>
      <c r="E968" t="str">
        <f>"016 "</f>
        <v xml:space="preserve">016 </v>
      </c>
      <c r="F968" t="s">
        <v>1437</v>
      </c>
      <c r="G968" s="1">
        <v>6000</v>
      </c>
      <c r="H968" t="s">
        <v>142</v>
      </c>
      <c r="I968" t="s">
        <v>15</v>
      </c>
      <c r="J968" s="1">
        <v>6788.04</v>
      </c>
    </row>
    <row r="969" spans="1:10" x14ac:dyDescent="0.25">
      <c r="A969" t="str">
        <f t="shared" si="69"/>
        <v>07/20/20</v>
      </c>
      <c r="B969" t="s">
        <v>1879</v>
      </c>
      <c r="C969" t="str">
        <f>"00000"</f>
        <v>00000</v>
      </c>
      <c r="D969" t="str">
        <f>"2441 "</f>
        <v xml:space="preserve">2441 </v>
      </c>
      <c r="E969" t="str">
        <f>"022 "</f>
        <v xml:space="preserve">022 </v>
      </c>
      <c r="F969" t="s">
        <v>1880</v>
      </c>
      <c r="G969" s="1">
        <v>9700</v>
      </c>
      <c r="H969" t="s">
        <v>14</v>
      </c>
      <c r="I969" t="s">
        <v>15</v>
      </c>
      <c r="J969" s="1">
        <v>100733.25</v>
      </c>
    </row>
    <row r="970" spans="1:10" x14ac:dyDescent="0.25">
      <c r="A970" t="str">
        <f t="shared" si="69"/>
        <v>07/20/20</v>
      </c>
      <c r="B970" t="s">
        <v>1881</v>
      </c>
      <c r="C970" t="str">
        <f>"21216"</f>
        <v>21216</v>
      </c>
      <c r="D970" t="str">
        <f>"2401B"</f>
        <v>2401B</v>
      </c>
      <c r="E970" t="str">
        <f>"022 "</f>
        <v xml:space="preserve">022 </v>
      </c>
      <c r="F970" t="s">
        <v>1882</v>
      </c>
      <c r="G970" s="1">
        <v>36000</v>
      </c>
      <c r="H970" t="s">
        <v>14</v>
      </c>
      <c r="I970" t="s">
        <v>15</v>
      </c>
      <c r="J970" s="1">
        <v>16851.36</v>
      </c>
    </row>
    <row r="971" spans="1:10" x14ac:dyDescent="0.25">
      <c r="A971" t="str">
        <f t="shared" si="69"/>
        <v>07/20/20</v>
      </c>
      <c r="B971" t="s">
        <v>1883</v>
      </c>
      <c r="C971" t="str">
        <f>"21216"</f>
        <v>21216</v>
      </c>
      <c r="D971" t="str">
        <f>"2319 "</f>
        <v xml:space="preserve">2319 </v>
      </c>
      <c r="E971" t="str">
        <f>"026 "</f>
        <v xml:space="preserve">026 </v>
      </c>
      <c r="F971" t="s">
        <v>1884</v>
      </c>
      <c r="G971" s="1">
        <v>11000</v>
      </c>
      <c r="H971" t="s">
        <v>30</v>
      </c>
      <c r="I971" t="s">
        <v>34</v>
      </c>
      <c r="J971" s="1">
        <v>31177.119999999999</v>
      </c>
    </row>
    <row r="972" spans="1:10" x14ac:dyDescent="0.25">
      <c r="A972" t="str">
        <f t="shared" si="69"/>
        <v>07/20/20</v>
      </c>
      <c r="B972" t="s">
        <v>1885</v>
      </c>
      <c r="C972" t="str">
        <f>"21216"</f>
        <v>21216</v>
      </c>
      <c r="D972" t="str">
        <f>"2319 "</f>
        <v xml:space="preserve">2319 </v>
      </c>
      <c r="E972" t="str">
        <f>"025 "</f>
        <v xml:space="preserve">025 </v>
      </c>
      <c r="F972" t="s">
        <v>1886</v>
      </c>
      <c r="G972" s="1">
        <v>11000</v>
      </c>
      <c r="H972" t="s">
        <v>30</v>
      </c>
      <c r="I972" t="s">
        <v>34</v>
      </c>
      <c r="J972" s="1">
        <v>47392.51</v>
      </c>
    </row>
    <row r="973" spans="1:10" x14ac:dyDescent="0.25">
      <c r="A973" t="str">
        <f t="shared" si="69"/>
        <v>07/20/20</v>
      </c>
      <c r="B973" t="s">
        <v>1887</v>
      </c>
      <c r="C973" t="str">
        <f>"21216"</f>
        <v>21216</v>
      </c>
      <c r="D973" t="str">
        <f>"2332D"</f>
        <v>2332D</v>
      </c>
      <c r="E973" t="str">
        <f>"021 "</f>
        <v xml:space="preserve">021 </v>
      </c>
      <c r="F973" t="s">
        <v>1888</v>
      </c>
      <c r="G973" s="1">
        <v>10200</v>
      </c>
      <c r="H973" t="s">
        <v>14</v>
      </c>
      <c r="I973" t="s">
        <v>34</v>
      </c>
      <c r="J973" s="1">
        <v>14056.77</v>
      </c>
    </row>
    <row r="974" spans="1:10" x14ac:dyDescent="0.25">
      <c r="A974" t="str">
        <f t="shared" si="69"/>
        <v>07/20/20</v>
      </c>
      <c r="B974" t="s">
        <v>1889</v>
      </c>
      <c r="C974" t="str">
        <f>"21217"</f>
        <v>21217</v>
      </c>
      <c r="D974" t="str">
        <f>"0026 "</f>
        <v xml:space="preserve">0026 </v>
      </c>
      <c r="E974" t="str">
        <f>"088 "</f>
        <v xml:space="preserve">088 </v>
      </c>
      <c r="F974" t="s">
        <v>1890</v>
      </c>
      <c r="G974" s="1">
        <v>6000</v>
      </c>
      <c r="H974" t="s">
        <v>33</v>
      </c>
      <c r="I974" t="s">
        <v>34</v>
      </c>
      <c r="J974" s="1">
        <v>37086.74</v>
      </c>
    </row>
    <row r="975" spans="1:10" x14ac:dyDescent="0.25">
      <c r="A975" t="str">
        <f t="shared" si="69"/>
        <v>07/20/20</v>
      </c>
      <c r="B975" t="s">
        <v>1891</v>
      </c>
      <c r="C975" t="str">
        <f>"21213"</f>
        <v>21213</v>
      </c>
      <c r="D975" t="str">
        <f>"1150 "</f>
        <v xml:space="preserve">1150 </v>
      </c>
      <c r="E975" t="str">
        <f>"004 "</f>
        <v xml:space="preserve">004 </v>
      </c>
      <c r="F975" t="s">
        <v>1892</v>
      </c>
      <c r="G975" s="1">
        <v>1000</v>
      </c>
      <c r="H975" t="s">
        <v>33</v>
      </c>
      <c r="I975" t="s">
        <v>15</v>
      </c>
      <c r="J975" s="1">
        <v>6414.53</v>
      </c>
    </row>
    <row r="976" spans="1:10" x14ac:dyDescent="0.25">
      <c r="A976" t="str">
        <f t="shared" si="69"/>
        <v>07/20/20</v>
      </c>
      <c r="B976" t="s">
        <v>1893</v>
      </c>
      <c r="C976" t="str">
        <f>"21215"</f>
        <v>21215</v>
      </c>
      <c r="D976" t="str">
        <f>"4426 "</f>
        <v xml:space="preserve">4426 </v>
      </c>
      <c r="E976" t="str">
        <f>"028 "</f>
        <v xml:space="preserve">028 </v>
      </c>
      <c r="F976" t="s">
        <v>1894</v>
      </c>
      <c r="G976" s="1">
        <v>128800</v>
      </c>
      <c r="H976" t="s">
        <v>14</v>
      </c>
      <c r="I976" t="s">
        <v>15</v>
      </c>
      <c r="J976" s="1">
        <v>84220.92</v>
      </c>
    </row>
    <row r="977" spans="1:10" x14ac:dyDescent="0.25">
      <c r="A977" t="str">
        <f t="shared" si="69"/>
        <v>07/20/20</v>
      </c>
      <c r="B977" t="s">
        <v>1895</v>
      </c>
      <c r="C977" t="str">
        <f>"21216"</f>
        <v>21216</v>
      </c>
      <c r="D977" t="str">
        <f>"2386 "</f>
        <v xml:space="preserve">2386 </v>
      </c>
      <c r="E977" t="str">
        <f>"022 "</f>
        <v xml:space="preserve">022 </v>
      </c>
      <c r="F977" t="s">
        <v>1896</v>
      </c>
      <c r="G977" s="1">
        <v>7000</v>
      </c>
      <c r="H977" t="s">
        <v>14</v>
      </c>
      <c r="I977" t="s">
        <v>15</v>
      </c>
      <c r="J977" s="1">
        <v>34091.83</v>
      </c>
    </row>
    <row r="978" spans="1:10" x14ac:dyDescent="0.25">
      <c r="A978" t="str">
        <f t="shared" si="69"/>
        <v>07/20/20</v>
      </c>
      <c r="B978" t="s">
        <v>1897</v>
      </c>
      <c r="C978" t="str">
        <f>"21216"</f>
        <v>21216</v>
      </c>
      <c r="D978" t="str">
        <f>"2386 "</f>
        <v xml:space="preserve">2386 </v>
      </c>
      <c r="E978" t="str">
        <f>"020 "</f>
        <v xml:space="preserve">020 </v>
      </c>
      <c r="F978" t="s">
        <v>1898</v>
      </c>
      <c r="G978" s="1">
        <v>7000</v>
      </c>
      <c r="H978" t="s">
        <v>14</v>
      </c>
      <c r="I978" t="s">
        <v>15</v>
      </c>
      <c r="J978" s="1">
        <v>68718.14</v>
      </c>
    </row>
    <row r="979" spans="1:10" x14ac:dyDescent="0.25">
      <c r="A979" t="str">
        <f t="shared" si="69"/>
        <v>07/20/20</v>
      </c>
      <c r="B979" t="s">
        <v>1899</v>
      </c>
      <c r="C979" t="str">
        <f>"21216"</f>
        <v>21216</v>
      </c>
      <c r="D979" t="str">
        <f>"2382 "</f>
        <v xml:space="preserve">2382 </v>
      </c>
      <c r="E979" t="str">
        <f>"040 "</f>
        <v xml:space="preserve">040 </v>
      </c>
      <c r="F979" t="s">
        <v>1900</v>
      </c>
      <c r="G979" s="1">
        <v>600</v>
      </c>
      <c r="H979" t="s">
        <v>14</v>
      </c>
      <c r="I979" t="s">
        <v>15</v>
      </c>
      <c r="J979" s="1">
        <v>83467.72</v>
      </c>
    </row>
    <row r="980" spans="1:10" x14ac:dyDescent="0.25">
      <c r="A980" t="str">
        <f t="shared" si="69"/>
        <v>07/20/20</v>
      </c>
      <c r="B980" t="s">
        <v>1901</v>
      </c>
      <c r="C980" t="str">
        <f>"21217"</f>
        <v>21217</v>
      </c>
      <c r="D980" t="str">
        <f>"2300 "</f>
        <v xml:space="preserve">2300 </v>
      </c>
      <c r="E980" t="str">
        <f>"024 "</f>
        <v xml:space="preserve">024 </v>
      </c>
      <c r="F980" t="s">
        <v>1196</v>
      </c>
      <c r="G980" s="1">
        <v>3000</v>
      </c>
      <c r="H980" t="s">
        <v>30</v>
      </c>
      <c r="I980" t="s">
        <v>15</v>
      </c>
      <c r="J980" s="1">
        <v>6023.99</v>
      </c>
    </row>
    <row r="981" spans="1:10" x14ac:dyDescent="0.25">
      <c r="A981" t="str">
        <f t="shared" si="69"/>
        <v>07/20/20</v>
      </c>
      <c r="B981" t="s">
        <v>1902</v>
      </c>
      <c r="C981" t="str">
        <f>"21217"</f>
        <v>21217</v>
      </c>
      <c r="D981" t="str">
        <f>"2300 "</f>
        <v xml:space="preserve">2300 </v>
      </c>
      <c r="E981" t="str">
        <f>"023 "</f>
        <v xml:space="preserve">023 </v>
      </c>
      <c r="F981" t="s">
        <v>1903</v>
      </c>
      <c r="G981" s="1">
        <v>3000</v>
      </c>
      <c r="H981" t="s">
        <v>30</v>
      </c>
      <c r="I981" t="s">
        <v>15</v>
      </c>
      <c r="J981" s="1">
        <v>95319.97</v>
      </c>
    </row>
    <row r="982" spans="1:10" x14ac:dyDescent="0.25">
      <c r="A982" t="str">
        <f t="shared" si="69"/>
        <v>07/20/20</v>
      </c>
      <c r="B982" t="s">
        <v>1904</v>
      </c>
      <c r="C982" t="str">
        <f>"21217"</f>
        <v>21217</v>
      </c>
      <c r="D982" t="str">
        <f>"3206 "</f>
        <v xml:space="preserve">3206 </v>
      </c>
      <c r="E982" t="str">
        <f>"033 "</f>
        <v xml:space="preserve">033 </v>
      </c>
      <c r="F982" t="s">
        <v>1905</v>
      </c>
      <c r="G982" s="1">
        <v>1000</v>
      </c>
      <c r="H982" t="s">
        <v>33</v>
      </c>
      <c r="I982" t="s">
        <v>15</v>
      </c>
      <c r="J982" s="1">
        <v>23996.04</v>
      </c>
    </row>
    <row r="983" spans="1:10" x14ac:dyDescent="0.25">
      <c r="A983" t="str">
        <f t="shared" si="69"/>
        <v>07/20/20</v>
      </c>
      <c r="B983" t="s">
        <v>1906</v>
      </c>
      <c r="C983" t="str">
        <f>"21217"</f>
        <v>21217</v>
      </c>
      <c r="D983" t="str">
        <f>"3211 "</f>
        <v xml:space="preserve">3211 </v>
      </c>
      <c r="E983" t="str">
        <f>"028 "</f>
        <v xml:space="preserve">028 </v>
      </c>
      <c r="F983" t="s">
        <v>1907</v>
      </c>
      <c r="G983" s="1">
        <v>1000</v>
      </c>
      <c r="H983" t="s">
        <v>33</v>
      </c>
      <c r="I983" t="s">
        <v>15</v>
      </c>
      <c r="J983" s="1">
        <v>44045.5</v>
      </c>
    </row>
    <row r="984" spans="1:10" x14ac:dyDescent="0.25">
      <c r="A984" t="str">
        <f t="shared" si="69"/>
        <v>07/20/20</v>
      </c>
      <c r="B984" t="s">
        <v>1908</v>
      </c>
      <c r="C984" t="str">
        <f>"21217"</f>
        <v>21217</v>
      </c>
      <c r="D984" t="str">
        <f>"3206 "</f>
        <v xml:space="preserve">3206 </v>
      </c>
      <c r="E984" t="str">
        <f>"030 "</f>
        <v xml:space="preserve">030 </v>
      </c>
      <c r="F984" t="s">
        <v>1909</v>
      </c>
      <c r="G984" s="1">
        <v>7000</v>
      </c>
      <c r="H984" t="s">
        <v>33</v>
      </c>
      <c r="I984" t="s">
        <v>34</v>
      </c>
      <c r="J984" s="1">
        <v>5968.19</v>
      </c>
    </row>
    <row r="985" spans="1:10" x14ac:dyDescent="0.25">
      <c r="A985" t="str">
        <f t="shared" si="69"/>
        <v>07/20/20</v>
      </c>
      <c r="B985" t="s">
        <v>1910</v>
      </c>
      <c r="C985" t="str">
        <f t="shared" ref="C985:C994" si="70">"21223"</f>
        <v>21223</v>
      </c>
      <c r="D985" t="str">
        <f>"0698 "</f>
        <v xml:space="preserve">0698 </v>
      </c>
      <c r="E985" t="str">
        <f>"060 "</f>
        <v xml:space="preserve">060 </v>
      </c>
      <c r="F985" t="s">
        <v>308</v>
      </c>
      <c r="G985" s="1">
        <v>2500</v>
      </c>
      <c r="H985" t="s">
        <v>33</v>
      </c>
      <c r="I985" t="s">
        <v>34</v>
      </c>
      <c r="J985" s="1">
        <v>933.38</v>
      </c>
    </row>
    <row r="986" spans="1:10" x14ac:dyDescent="0.25">
      <c r="A986" t="str">
        <f t="shared" si="69"/>
        <v>07/20/20</v>
      </c>
      <c r="B986" t="s">
        <v>1911</v>
      </c>
      <c r="C986" t="str">
        <f t="shared" si="70"/>
        <v>21223</v>
      </c>
      <c r="D986" t="str">
        <f>"0697 "</f>
        <v xml:space="preserve">0697 </v>
      </c>
      <c r="E986" t="str">
        <f>"031 "</f>
        <v xml:space="preserve">031 </v>
      </c>
      <c r="F986" t="s">
        <v>1912</v>
      </c>
      <c r="G986" s="1">
        <v>6000</v>
      </c>
      <c r="H986" t="s">
        <v>33</v>
      </c>
      <c r="I986" t="s">
        <v>15</v>
      </c>
      <c r="J986" s="1">
        <v>15218.19</v>
      </c>
    </row>
    <row r="987" spans="1:10" x14ac:dyDescent="0.25">
      <c r="A987" t="str">
        <f t="shared" si="69"/>
        <v>07/20/20</v>
      </c>
      <c r="B987" t="s">
        <v>1913</v>
      </c>
      <c r="C987" t="str">
        <f t="shared" si="70"/>
        <v>21223</v>
      </c>
      <c r="D987" t="str">
        <f>"0273 "</f>
        <v xml:space="preserve">0273 </v>
      </c>
      <c r="E987" t="str">
        <f>"050 "</f>
        <v xml:space="preserve">050 </v>
      </c>
      <c r="F987" t="s">
        <v>599</v>
      </c>
      <c r="G987" s="1">
        <v>6000</v>
      </c>
      <c r="H987" t="s">
        <v>33</v>
      </c>
      <c r="I987" t="s">
        <v>34</v>
      </c>
      <c r="J987" s="1">
        <v>176839.57</v>
      </c>
    </row>
    <row r="988" spans="1:10" x14ac:dyDescent="0.25">
      <c r="A988" t="str">
        <f t="shared" si="69"/>
        <v>07/20/20</v>
      </c>
      <c r="B988" t="s">
        <v>1914</v>
      </c>
      <c r="C988" t="str">
        <f t="shared" si="70"/>
        <v>21223</v>
      </c>
      <c r="D988" t="str">
        <f>"0222 "</f>
        <v xml:space="preserve">0222 </v>
      </c>
      <c r="E988" t="str">
        <f>"094 "</f>
        <v xml:space="preserve">094 </v>
      </c>
      <c r="F988" t="s">
        <v>1915</v>
      </c>
      <c r="G988" s="1">
        <v>10200</v>
      </c>
      <c r="H988" t="s">
        <v>33</v>
      </c>
      <c r="I988" t="s">
        <v>15</v>
      </c>
      <c r="J988" s="1">
        <v>8047.99</v>
      </c>
    </row>
    <row r="989" spans="1:10" x14ac:dyDescent="0.25">
      <c r="A989" t="str">
        <f t="shared" si="69"/>
        <v>07/20/20</v>
      </c>
      <c r="B989" t="s">
        <v>1916</v>
      </c>
      <c r="C989" t="str">
        <f t="shared" si="70"/>
        <v>21223</v>
      </c>
      <c r="D989" t="str">
        <f>"0273 "</f>
        <v xml:space="preserve">0273 </v>
      </c>
      <c r="E989" t="str">
        <f>"055 "</f>
        <v xml:space="preserve">055 </v>
      </c>
      <c r="F989" t="s">
        <v>1917</v>
      </c>
      <c r="G989" s="1">
        <v>6000</v>
      </c>
      <c r="H989" t="s">
        <v>33</v>
      </c>
      <c r="I989" t="s">
        <v>34</v>
      </c>
      <c r="J989" s="1">
        <v>18215.34</v>
      </c>
    </row>
    <row r="990" spans="1:10" x14ac:dyDescent="0.25">
      <c r="A990" t="str">
        <f t="shared" si="69"/>
        <v>07/20/20</v>
      </c>
      <c r="B990" t="s">
        <v>1918</v>
      </c>
      <c r="C990" t="str">
        <f t="shared" si="70"/>
        <v>21223</v>
      </c>
      <c r="D990" t="str">
        <f>"0145 "</f>
        <v xml:space="preserve">0145 </v>
      </c>
      <c r="E990" t="str">
        <f>"014 "</f>
        <v xml:space="preserve">014 </v>
      </c>
      <c r="F990" t="s">
        <v>1919</v>
      </c>
      <c r="G990" s="1">
        <v>17000</v>
      </c>
      <c r="H990" t="s">
        <v>30</v>
      </c>
      <c r="I990" t="s">
        <v>15</v>
      </c>
      <c r="J990" s="1">
        <v>7928.06</v>
      </c>
    </row>
    <row r="991" spans="1:10" x14ac:dyDescent="0.25">
      <c r="A991" t="str">
        <f t="shared" si="69"/>
        <v>07/20/20</v>
      </c>
      <c r="B991" t="s">
        <v>1920</v>
      </c>
      <c r="C991" t="str">
        <f t="shared" si="70"/>
        <v>21223</v>
      </c>
      <c r="D991" t="str">
        <f>"0145 "</f>
        <v xml:space="preserve">0145 </v>
      </c>
      <c r="E991" t="str">
        <f>"009 "</f>
        <v xml:space="preserve">009 </v>
      </c>
      <c r="F991" t="s">
        <v>1921</v>
      </c>
      <c r="G991" s="1">
        <v>7000</v>
      </c>
      <c r="H991" t="s">
        <v>30</v>
      </c>
      <c r="I991" t="s">
        <v>34</v>
      </c>
      <c r="J991" s="1">
        <v>107927.92</v>
      </c>
    </row>
    <row r="992" spans="1:10" x14ac:dyDescent="0.25">
      <c r="A992" t="str">
        <f t="shared" si="69"/>
        <v>07/20/20</v>
      </c>
      <c r="B992" t="s">
        <v>1922</v>
      </c>
      <c r="C992" t="str">
        <f t="shared" si="70"/>
        <v>21223</v>
      </c>
      <c r="D992" t="str">
        <f>"0145 "</f>
        <v xml:space="preserve">0145 </v>
      </c>
      <c r="E992" t="str">
        <f>"001 "</f>
        <v xml:space="preserve">001 </v>
      </c>
      <c r="F992" t="s">
        <v>1923</v>
      </c>
      <c r="G992" s="1">
        <v>17000</v>
      </c>
      <c r="H992" t="s">
        <v>30</v>
      </c>
      <c r="I992" t="s">
        <v>15</v>
      </c>
      <c r="J992" s="1">
        <v>7477.41</v>
      </c>
    </row>
    <row r="993" spans="1:10" x14ac:dyDescent="0.25">
      <c r="A993" t="str">
        <f t="shared" si="69"/>
        <v>07/20/20</v>
      </c>
      <c r="B993" t="s">
        <v>1924</v>
      </c>
      <c r="C993" t="str">
        <f t="shared" si="70"/>
        <v>21223</v>
      </c>
      <c r="D993" t="str">
        <f>"0118 "</f>
        <v xml:space="preserve">0118 </v>
      </c>
      <c r="E993" t="str">
        <f>"008 "</f>
        <v xml:space="preserve">008 </v>
      </c>
      <c r="F993" t="s">
        <v>1925</v>
      </c>
      <c r="G993" s="1">
        <v>1000</v>
      </c>
      <c r="H993" t="s">
        <v>33</v>
      </c>
      <c r="I993" t="s">
        <v>15</v>
      </c>
      <c r="J993" s="1">
        <v>6601.55</v>
      </c>
    </row>
    <row r="994" spans="1:10" x14ac:dyDescent="0.25">
      <c r="A994" t="str">
        <f t="shared" si="69"/>
        <v>07/20/20</v>
      </c>
      <c r="B994" t="s">
        <v>1926</v>
      </c>
      <c r="C994" t="str">
        <f t="shared" si="70"/>
        <v>21223</v>
      </c>
      <c r="D994" t="str">
        <f>"0176 "</f>
        <v xml:space="preserve">0176 </v>
      </c>
      <c r="E994" t="str">
        <f>"023 "</f>
        <v xml:space="preserve">023 </v>
      </c>
      <c r="F994" t="s">
        <v>1927</v>
      </c>
      <c r="G994" s="1">
        <v>17000</v>
      </c>
      <c r="H994" t="s">
        <v>30</v>
      </c>
      <c r="I994" t="s">
        <v>15</v>
      </c>
      <c r="J994" s="1">
        <v>4629.8</v>
      </c>
    </row>
    <row r="995" spans="1:10" x14ac:dyDescent="0.25">
      <c r="A995" t="str">
        <f t="shared" si="69"/>
        <v>07/20/20</v>
      </c>
      <c r="B995" t="s">
        <v>1928</v>
      </c>
      <c r="C995" t="str">
        <f>"21217"</f>
        <v>21217</v>
      </c>
      <c r="D995" t="str">
        <f>"0105 "</f>
        <v xml:space="preserve">0105 </v>
      </c>
      <c r="E995" t="str">
        <f>"008 "</f>
        <v xml:space="preserve">008 </v>
      </c>
      <c r="F995" t="s">
        <v>1929</v>
      </c>
      <c r="G995" s="1">
        <v>5000</v>
      </c>
      <c r="H995" t="s">
        <v>33</v>
      </c>
      <c r="I995" t="s">
        <v>34</v>
      </c>
      <c r="J995" s="1">
        <v>18892.64</v>
      </c>
    </row>
    <row r="996" spans="1:10" x14ac:dyDescent="0.25">
      <c r="A996" t="str">
        <f t="shared" si="69"/>
        <v>07/20/20</v>
      </c>
      <c r="B996" t="s">
        <v>1930</v>
      </c>
      <c r="C996" t="str">
        <f>"21217"</f>
        <v>21217</v>
      </c>
      <c r="D996" t="str">
        <f>"0105 "</f>
        <v xml:space="preserve">0105 </v>
      </c>
      <c r="E996" t="str">
        <f>"016 "</f>
        <v xml:space="preserve">016 </v>
      </c>
      <c r="F996" t="s">
        <v>1931</v>
      </c>
      <c r="G996" s="1">
        <v>5000</v>
      </c>
      <c r="H996" t="s">
        <v>33</v>
      </c>
      <c r="I996" t="s">
        <v>34</v>
      </c>
      <c r="J996" s="1">
        <v>21631.4</v>
      </c>
    </row>
    <row r="997" spans="1:10" x14ac:dyDescent="0.25">
      <c r="A997" t="str">
        <f t="shared" si="69"/>
        <v>07/20/20</v>
      </c>
      <c r="B997" t="s">
        <v>1932</v>
      </c>
      <c r="C997" t="str">
        <f>"21217"</f>
        <v>21217</v>
      </c>
      <c r="D997" t="str">
        <f>"0105 "</f>
        <v xml:space="preserve">0105 </v>
      </c>
      <c r="E997" t="str">
        <f>"009 "</f>
        <v xml:space="preserve">009 </v>
      </c>
      <c r="F997" t="s">
        <v>1933</v>
      </c>
      <c r="G997" s="1">
        <v>15000</v>
      </c>
      <c r="H997" t="s">
        <v>33</v>
      </c>
      <c r="I997" t="s">
        <v>34</v>
      </c>
      <c r="J997" s="1">
        <v>155650</v>
      </c>
    </row>
    <row r="998" spans="1:10" x14ac:dyDescent="0.25">
      <c r="A998" t="str">
        <f t="shared" si="69"/>
        <v>07/20/20</v>
      </c>
      <c r="B998" t="s">
        <v>1934</v>
      </c>
      <c r="C998" t="str">
        <f>"21217"</f>
        <v>21217</v>
      </c>
      <c r="D998" t="str">
        <f>"0094 "</f>
        <v xml:space="preserve">0094 </v>
      </c>
      <c r="E998" t="str">
        <f>"069 "</f>
        <v xml:space="preserve">069 </v>
      </c>
      <c r="F998" t="s">
        <v>1935</v>
      </c>
      <c r="G998" s="1">
        <v>1000</v>
      </c>
      <c r="H998" t="s">
        <v>33</v>
      </c>
      <c r="I998" t="s">
        <v>15</v>
      </c>
      <c r="J998" s="1">
        <v>19160.16</v>
      </c>
    </row>
    <row r="999" spans="1:10" x14ac:dyDescent="0.25">
      <c r="A999" t="str">
        <f t="shared" si="69"/>
        <v>07/20/20</v>
      </c>
      <c r="B999" t="s">
        <v>1936</v>
      </c>
      <c r="C999" t="str">
        <f>"21215"</f>
        <v>21215</v>
      </c>
      <c r="D999" t="str">
        <f>"3347E"</f>
        <v>3347E</v>
      </c>
      <c r="E999" t="str">
        <f>"038 "</f>
        <v xml:space="preserve">038 </v>
      </c>
      <c r="F999" t="s">
        <v>1937</v>
      </c>
      <c r="G999" s="1">
        <v>21000</v>
      </c>
      <c r="H999" t="s">
        <v>14</v>
      </c>
      <c r="I999" t="s">
        <v>34</v>
      </c>
      <c r="J999" s="1">
        <v>10714.52</v>
      </c>
    </row>
    <row r="1000" spans="1:10" x14ac:dyDescent="0.25">
      <c r="A1000" t="str">
        <f t="shared" si="69"/>
        <v>07/20/20</v>
      </c>
      <c r="B1000" t="s">
        <v>1938</v>
      </c>
      <c r="C1000" t="str">
        <f>"21215"</f>
        <v>21215</v>
      </c>
      <c r="D1000" t="str">
        <f>"4588 "</f>
        <v xml:space="preserve">4588 </v>
      </c>
      <c r="E1000" t="str">
        <f>"005 "</f>
        <v xml:space="preserve">005 </v>
      </c>
      <c r="F1000" t="s">
        <v>1939</v>
      </c>
      <c r="G1000" s="1">
        <v>65100</v>
      </c>
      <c r="H1000" t="s">
        <v>14</v>
      </c>
      <c r="I1000" t="s">
        <v>15</v>
      </c>
      <c r="J1000" s="1">
        <v>44912.36</v>
      </c>
    </row>
    <row r="1001" spans="1:10" x14ac:dyDescent="0.25">
      <c r="A1001" t="str">
        <f t="shared" si="69"/>
        <v>07/20/20</v>
      </c>
      <c r="B1001" t="s">
        <v>1940</v>
      </c>
      <c r="C1001" t="str">
        <f t="shared" ref="C1001:C1007" si="71">"21223"</f>
        <v>21223</v>
      </c>
      <c r="D1001" t="str">
        <f>"0275 "</f>
        <v xml:space="preserve">0275 </v>
      </c>
      <c r="E1001" t="str">
        <f>"028 "</f>
        <v xml:space="preserve">028 </v>
      </c>
      <c r="F1001" t="s">
        <v>1941</v>
      </c>
      <c r="G1001" s="1">
        <v>6000</v>
      </c>
      <c r="H1001" t="s">
        <v>33</v>
      </c>
      <c r="I1001" t="s">
        <v>34</v>
      </c>
      <c r="J1001" s="1">
        <v>48634.41</v>
      </c>
    </row>
    <row r="1002" spans="1:10" x14ac:dyDescent="0.25">
      <c r="A1002" t="str">
        <f t="shared" si="69"/>
        <v>07/20/20</v>
      </c>
      <c r="B1002" t="s">
        <v>1942</v>
      </c>
      <c r="C1002" t="str">
        <f t="shared" si="71"/>
        <v>21223</v>
      </c>
      <c r="D1002" t="str">
        <f>"0276 "</f>
        <v xml:space="preserve">0276 </v>
      </c>
      <c r="E1002" t="str">
        <f>"040 "</f>
        <v xml:space="preserve">040 </v>
      </c>
      <c r="F1002" t="s">
        <v>1943</v>
      </c>
      <c r="G1002" s="1">
        <v>1000</v>
      </c>
      <c r="H1002" t="s">
        <v>33</v>
      </c>
      <c r="I1002" t="s">
        <v>15</v>
      </c>
      <c r="J1002" s="1">
        <v>8835.5499999999993</v>
      </c>
    </row>
    <row r="1003" spans="1:10" x14ac:dyDescent="0.25">
      <c r="A1003" t="str">
        <f t="shared" si="69"/>
        <v>07/20/20</v>
      </c>
      <c r="B1003" t="s">
        <v>1944</v>
      </c>
      <c r="C1003" t="str">
        <f t="shared" si="71"/>
        <v>21223</v>
      </c>
      <c r="D1003" t="str">
        <f>"0274 "</f>
        <v xml:space="preserve">0274 </v>
      </c>
      <c r="E1003" t="str">
        <f>"031 "</f>
        <v xml:space="preserve">031 </v>
      </c>
      <c r="F1003" t="s">
        <v>1945</v>
      </c>
      <c r="G1003" s="1">
        <v>15000</v>
      </c>
      <c r="H1003" t="s">
        <v>33</v>
      </c>
      <c r="I1003" t="s">
        <v>34</v>
      </c>
      <c r="J1003" s="1">
        <v>20439.169999999998</v>
      </c>
    </row>
    <row r="1004" spans="1:10" x14ac:dyDescent="0.25">
      <c r="A1004" t="str">
        <f t="shared" si="69"/>
        <v>07/20/20</v>
      </c>
      <c r="B1004" t="s">
        <v>1946</v>
      </c>
      <c r="C1004" t="str">
        <f t="shared" si="71"/>
        <v>21223</v>
      </c>
      <c r="D1004" t="str">
        <f>"0291 "</f>
        <v xml:space="preserve">0291 </v>
      </c>
      <c r="E1004" t="str">
        <f>"027 "</f>
        <v xml:space="preserve">027 </v>
      </c>
      <c r="F1004" t="s">
        <v>1947</v>
      </c>
      <c r="G1004" s="1">
        <v>6000</v>
      </c>
      <c r="H1004" t="s">
        <v>33</v>
      </c>
      <c r="I1004" t="s">
        <v>34</v>
      </c>
      <c r="J1004" s="1">
        <v>20677.2</v>
      </c>
    </row>
    <row r="1005" spans="1:10" x14ac:dyDescent="0.25">
      <c r="A1005" t="str">
        <f t="shared" si="69"/>
        <v>07/20/20</v>
      </c>
      <c r="B1005" t="s">
        <v>1948</v>
      </c>
      <c r="C1005" t="str">
        <f t="shared" si="71"/>
        <v>21223</v>
      </c>
      <c r="D1005" t="str">
        <f>"0291 "</f>
        <v xml:space="preserve">0291 </v>
      </c>
      <c r="E1005" t="str">
        <f>"006 "</f>
        <v xml:space="preserve">006 </v>
      </c>
      <c r="F1005" t="s">
        <v>1949</v>
      </c>
      <c r="G1005" s="1">
        <v>6000</v>
      </c>
      <c r="H1005" t="s">
        <v>33</v>
      </c>
      <c r="I1005" t="s">
        <v>34</v>
      </c>
      <c r="J1005" s="1">
        <v>34022.639999999999</v>
      </c>
    </row>
    <row r="1006" spans="1:10" x14ac:dyDescent="0.25">
      <c r="A1006" t="str">
        <f t="shared" si="69"/>
        <v>07/20/20</v>
      </c>
      <c r="B1006" t="s">
        <v>1950</v>
      </c>
      <c r="C1006" t="str">
        <f t="shared" si="71"/>
        <v>21223</v>
      </c>
      <c r="D1006" t="str">
        <f>"0699 "</f>
        <v xml:space="preserve">0699 </v>
      </c>
      <c r="E1006" t="str">
        <f>"051 "</f>
        <v xml:space="preserve">051 </v>
      </c>
      <c r="F1006" t="s">
        <v>1951</v>
      </c>
      <c r="G1006" s="1">
        <v>6000</v>
      </c>
      <c r="H1006" t="s">
        <v>33</v>
      </c>
      <c r="I1006" t="s">
        <v>34</v>
      </c>
      <c r="J1006" s="1">
        <v>18633.91</v>
      </c>
    </row>
    <row r="1007" spans="1:10" x14ac:dyDescent="0.25">
      <c r="A1007" t="str">
        <f t="shared" si="69"/>
        <v>07/20/20</v>
      </c>
      <c r="B1007" t="s">
        <v>1952</v>
      </c>
      <c r="C1007" t="str">
        <f t="shared" si="71"/>
        <v>21223</v>
      </c>
      <c r="D1007" t="str">
        <f>"0699 "</f>
        <v xml:space="preserve">0699 </v>
      </c>
      <c r="E1007" t="str">
        <f>"058 "</f>
        <v xml:space="preserve">058 </v>
      </c>
      <c r="F1007" t="s">
        <v>1953</v>
      </c>
      <c r="G1007" s="1">
        <v>6000</v>
      </c>
      <c r="H1007" t="s">
        <v>33</v>
      </c>
      <c r="I1007" t="s">
        <v>34</v>
      </c>
      <c r="J1007" s="1">
        <v>4132.92</v>
      </c>
    </row>
    <row r="1008" spans="1:10" x14ac:dyDescent="0.25">
      <c r="A1008" t="str">
        <f t="shared" si="69"/>
        <v>07/20/20</v>
      </c>
      <c r="B1008" t="s">
        <v>1954</v>
      </c>
      <c r="C1008" t="str">
        <f>"21213"</f>
        <v>21213</v>
      </c>
      <c r="D1008" t="str">
        <f>"4178F"</f>
        <v>4178F</v>
      </c>
      <c r="E1008" t="str">
        <f>"048 "</f>
        <v xml:space="preserve">048 </v>
      </c>
      <c r="F1008" t="s">
        <v>1955</v>
      </c>
      <c r="G1008" s="1">
        <v>36000</v>
      </c>
      <c r="H1008" t="s">
        <v>30</v>
      </c>
      <c r="I1008" t="s">
        <v>15</v>
      </c>
      <c r="J1008" s="1">
        <v>11457.9</v>
      </c>
    </row>
    <row r="1009" spans="1:10" x14ac:dyDescent="0.25">
      <c r="A1009" t="str">
        <f t="shared" si="69"/>
        <v>07/20/20</v>
      </c>
      <c r="B1009" t="s">
        <v>1956</v>
      </c>
      <c r="C1009" t="str">
        <f>"21217"</f>
        <v>21217</v>
      </c>
      <c r="D1009" t="str">
        <f>"0094 "</f>
        <v xml:space="preserve">0094 </v>
      </c>
      <c r="E1009" t="str">
        <f>"035 "</f>
        <v xml:space="preserve">035 </v>
      </c>
      <c r="F1009" t="s">
        <v>1143</v>
      </c>
      <c r="G1009" s="1">
        <v>5000</v>
      </c>
      <c r="H1009" t="s">
        <v>33</v>
      </c>
      <c r="I1009" t="s">
        <v>34</v>
      </c>
      <c r="J1009" s="1">
        <v>15064.53</v>
      </c>
    </row>
    <row r="1010" spans="1:10" x14ac:dyDescent="0.25">
      <c r="A1010" t="str">
        <f t="shared" si="69"/>
        <v>07/20/20</v>
      </c>
      <c r="B1010" t="s">
        <v>1957</v>
      </c>
      <c r="C1010" t="str">
        <f>"21217"</f>
        <v>21217</v>
      </c>
      <c r="D1010" t="str">
        <f>"0094 "</f>
        <v xml:space="preserve">0094 </v>
      </c>
      <c r="E1010" t="str">
        <f>"049 "</f>
        <v xml:space="preserve">049 </v>
      </c>
      <c r="F1010" t="s">
        <v>1958</v>
      </c>
      <c r="G1010" s="1">
        <v>5000</v>
      </c>
      <c r="H1010" t="s">
        <v>33</v>
      </c>
      <c r="I1010" t="s">
        <v>34</v>
      </c>
      <c r="J1010" s="1">
        <v>819.29</v>
      </c>
    </row>
    <row r="1011" spans="1:10" x14ac:dyDescent="0.25">
      <c r="A1011" t="str">
        <f t="shared" si="69"/>
        <v>07/20/20</v>
      </c>
      <c r="B1011" t="s">
        <v>1959</v>
      </c>
      <c r="C1011" t="str">
        <f>"21217"</f>
        <v>21217</v>
      </c>
      <c r="D1011" t="str">
        <f>"0096 "</f>
        <v xml:space="preserve">0096 </v>
      </c>
      <c r="E1011" t="str">
        <f>"100 "</f>
        <v xml:space="preserve">100 </v>
      </c>
      <c r="F1011" t="s">
        <v>1960</v>
      </c>
      <c r="G1011" s="1">
        <v>1000</v>
      </c>
      <c r="H1011" t="s">
        <v>33</v>
      </c>
      <c r="I1011" t="s">
        <v>15</v>
      </c>
      <c r="J1011" s="1">
        <v>42153.25</v>
      </c>
    </row>
    <row r="1012" spans="1:10" x14ac:dyDescent="0.25">
      <c r="A1012" t="str">
        <f t="shared" si="69"/>
        <v>07/20/20</v>
      </c>
      <c r="B1012" t="s">
        <v>1961</v>
      </c>
      <c r="C1012" t="str">
        <f>"21217"</f>
        <v>21217</v>
      </c>
      <c r="D1012" t="str">
        <f>"0094 "</f>
        <v xml:space="preserve">0094 </v>
      </c>
      <c r="E1012" t="str">
        <f>"039 "</f>
        <v xml:space="preserve">039 </v>
      </c>
      <c r="F1012" t="s">
        <v>1962</v>
      </c>
      <c r="G1012" s="1">
        <v>5000</v>
      </c>
      <c r="H1012" t="s">
        <v>33</v>
      </c>
      <c r="I1012" t="s">
        <v>34</v>
      </c>
      <c r="J1012" s="1">
        <v>15655.97</v>
      </c>
    </row>
    <row r="1013" spans="1:10" x14ac:dyDescent="0.25">
      <c r="A1013" t="str">
        <f t="shared" si="69"/>
        <v>07/20/20</v>
      </c>
      <c r="B1013" t="s">
        <v>1963</v>
      </c>
      <c r="C1013" t="str">
        <f t="shared" ref="C1013:C1020" si="72">"21216"</f>
        <v>21216</v>
      </c>
      <c r="D1013" t="str">
        <f>"2380 "</f>
        <v xml:space="preserve">2380 </v>
      </c>
      <c r="E1013" t="str">
        <f>"019 "</f>
        <v xml:space="preserve">019 </v>
      </c>
      <c r="F1013" t="s">
        <v>1964</v>
      </c>
      <c r="G1013" s="1">
        <v>2000</v>
      </c>
      <c r="H1013" t="s">
        <v>14</v>
      </c>
      <c r="I1013" t="s">
        <v>15</v>
      </c>
      <c r="J1013" s="1">
        <v>152234.76999999999</v>
      </c>
    </row>
    <row r="1014" spans="1:10" x14ac:dyDescent="0.25">
      <c r="A1014" t="str">
        <f t="shared" si="69"/>
        <v>07/20/20</v>
      </c>
      <c r="B1014" t="s">
        <v>1965</v>
      </c>
      <c r="C1014" t="str">
        <f t="shared" si="72"/>
        <v>21216</v>
      </c>
      <c r="D1014" t="str">
        <f>"2380 "</f>
        <v xml:space="preserve">2380 </v>
      </c>
      <c r="E1014" t="str">
        <f>"017 "</f>
        <v xml:space="preserve">017 </v>
      </c>
      <c r="F1014" t="s">
        <v>1966</v>
      </c>
      <c r="G1014" s="1">
        <v>2700</v>
      </c>
      <c r="H1014" t="s">
        <v>14</v>
      </c>
      <c r="I1014" t="s">
        <v>15</v>
      </c>
      <c r="J1014" s="1">
        <v>34098.82</v>
      </c>
    </row>
    <row r="1015" spans="1:10" x14ac:dyDescent="0.25">
      <c r="A1015" t="str">
        <f t="shared" si="69"/>
        <v>07/20/20</v>
      </c>
      <c r="B1015" t="s">
        <v>1967</v>
      </c>
      <c r="C1015" t="str">
        <f t="shared" si="72"/>
        <v>21216</v>
      </c>
      <c r="D1015" t="str">
        <f>"2380 "</f>
        <v xml:space="preserve">2380 </v>
      </c>
      <c r="E1015" t="str">
        <f>"016 "</f>
        <v xml:space="preserve">016 </v>
      </c>
      <c r="F1015" t="s">
        <v>1968</v>
      </c>
      <c r="G1015" s="1">
        <v>1000</v>
      </c>
      <c r="H1015" t="s">
        <v>14</v>
      </c>
      <c r="I1015" t="s">
        <v>15</v>
      </c>
      <c r="J1015" s="1">
        <v>55691.93</v>
      </c>
    </row>
    <row r="1016" spans="1:10" x14ac:dyDescent="0.25">
      <c r="A1016" t="str">
        <f t="shared" si="69"/>
        <v>07/20/20</v>
      </c>
      <c r="B1016" t="s">
        <v>1969</v>
      </c>
      <c r="C1016" t="str">
        <f t="shared" si="72"/>
        <v>21216</v>
      </c>
      <c r="D1016" t="str">
        <f>"2380 "</f>
        <v xml:space="preserve">2380 </v>
      </c>
      <c r="E1016" t="str">
        <f>"003 "</f>
        <v xml:space="preserve">003 </v>
      </c>
      <c r="F1016" t="s">
        <v>1690</v>
      </c>
      <c r="G1016" s="1">
        <v>2700</v>
      </c>
      <c r="H1016" t="s">
        <v>14</v>
      </c>
      <c r="I1016" t="s">
        <v>15</v>
      </c>
      <c r="J1016" s="1">
        <v>533.67999999999995</v>
      </c>
    </row>
    <row r="1017" spans="1:10" x14ac:dyDescent="0.25">
      <c r="A1017" t="str">
        <f t="shared" si="69"/>
        <v>07/20/20</v>
      </c>
      <c r="B1017" t="s">
        <v>1970</v>
      </c>
      <c r="C1017" t="str">
        <f t="shared" si="72"/>
        <v>21216</v>
      </c>
      <c r="D1017" t="str">
        <f>"2475E"</f>
        <v>2475E</v>
      </c>
      <c r="E1017" t="str">
        <f>"007 "</f>
        <v xml:space="preserve">007 </v>
      </c>
      <c r="F1017" t="s">
        <v>1971</v>
      </c>
      <c r="G1017" s="1">
        <v>17700</v>
      </c>
      <c r="H1017" t="s">
        <v>14</v>
      </c>
      <c r="I1017" t="s">
        <v>34</v>
      </c>
      <c r="J1017" s="1">
        <v>7176.19</v>
      </c>
    </row>
    <row r="1018" spans="1:10" x14ac:dyDescent="0.25">
      <c r="A1018" t="str">
        <f t="shared" si="69"/>
        <v>07/20/20</v>
      </c>
      <c r="B1018" t="s">
        <v>1972</v>
      </c>
      <c r="C1018" t="str">
        <f t="shared" si="72"/>
        <v>21216</v>
      </c>
      <c r="D1018" t="str">
        <f>"2475E"</f>
        <v>2475E</v>
      </c>
      <c r="E1018" t="str">
        <f>"001 "</f>
        <v xml:space="preserve">001 </v>
      </c>
      <c r="F1018" t="s">
        <v>1973</v>
      </c>
      <c r="G1018" s="1">
        <v>18300</v>
      </c>
      <c r="H1018" t="s">
        <v>14</v>
      </c>
      <c r="I1018" t="s">
        <v>34</v>
      </c>
      <c r="J1018" s="1">
        <v>15276.92</v>
      </c>
    </row>
    <row r="1019" spans="1:10" x14ac:dyDescent="0.25">
      <c r="A1019" t="str">
        <f t="shared" si="69"/>
        <v>07/20/20</v>
      </c>
      <c r="B1019" t="s">
        <v>1974</v>
      </c>
      <c r="C1019" t="str">
        <f t="shared" si="72"/>
        <v>21216</v>
      </c>
      <c r="D1019" t="str">
        <f>"2475F"</f>
        <v>2475F</v>
      </c>
      <c r="E1019" t="str">
        <f>"032 "</f>
        <v xml:space="preserve">032 </v>
      </c>
      <c r="F1019" t="s">
        <v>1975</v>
      </c>
      <c r="G1019" s="1">
        <v>17700</v>
      </c>
      <c r="H1019" t="s">
        <v>14</v>
      </c>
      <c r="I1019" t="s">
        <v>34</v>
      </c>
      <c r="J1019" s="1">
        <v>112416.58</v>
      </c>
    </row>
    <row r="1020" spans="1:10" x14ac:dyDescent="0.25">
      <c r="A1020" t="str">
        <f t="shared" si="69"/>
        <v>07/20/20</v>
      </c>
      <c r="B1020" t="s">
        <v>1976</v>
      </c>
      <c r="C1020" t="str">
        <f t="shared" si="72"/>
        <v>21216</v>
      </c>
      <c r="D1020" t="str">
        <f>"2475F"</f>
        <v>2475F</v>
      </c>
      <c r="E1020" t="str">
        <f>"026 "</f>
        <v xml:space="preserve">026 </v>
      </c>
      <c r="F1020" t="s">
        <v>1977</v>
      </c>
      <c r="G1020" s="1">
        <v>17700</v>
      </c>
      <c r="H1020" t="s">
        <v>14</v>
      </c>
      <c r="I1020" t="s">
        <v>34</v>
      </c>
      <c r="J1020" s="1">
        <v>75956.539999999994</v>
      </c>
    </row>
    <row r="1021" spans="1:10" x14ac:dyDescent="0.25">
      <c r="A1021" t="str">
        <f t="shared" si="69"/>
        <v>07/20/20</v>
      </c>
      <c r="B1021" t="s">
        <v>1978</v>
      </c>
      <c r="C1021" t="str">
        <f>"MAN 2"</f>
        <v>MAN 2</v>
      </c>
      <c r="D1021" t="str">
        <f>"2140 "</f>
        <v xml:space="preserve">2140 </v>
      </c>
      <c r="E1021" t="str">
        <f>"053A"</f>
        <v>053A</v>
      </c>
      <c r="F1021" t="s">
        <v>1979</v>
      </c>
      <c r="G1021" s="1">
        <v>1000</v>
      </c>
      <c r="H1021" t="s">
        <v>33</v>
      </c>
      <c r="I1021" t="s">
        <v>15</v>
      </c>
      <c r="J1021" s="1">
        <v>690.08</v>
      </c>
    </row>
    <row r="1022" spans="1:10" x14ac:dyDescent="0.25">
      <c r="A1022" t="str">
        <f t="shared" si="69"/>
        <v>07/20/20</v>
      </c>
      <c r="B1022" t="s">
        <v>1980</v>
      </c>
      <c r="C1022" t="str">
        <f>"ING 1"</f>
        <v>ING 1</v>
      </c>
      <c r="D1022" t="str">
        <f>"4265 "</f>
        <v xml:space="preserve">4265 </v>
      </c>
      <c r="E1022" t="str">
        <f>"016A"</f>
        <v>016A</v>
      </c>
      <c r="F1022" t="s">
        <v>1981</v>
      </c>
      <c r="G1022" s="1">
        <v>100</v>
      </c>
      <c r="H1022" t="s">
        <v>74</v>
      </c>
      <c r="I1022" t="s">
        <v>15</v>
      </c>
      <c r="J1022" s="1">
        <v>21967.599999999999</v>
      </c>
    </row>
    <row r="1023" spans="1:10" x14ac:dyDescent="0.25">
      <c r="A1023" t="str">
        <f t="shared" si="69"/>
        <v>07/20/20</v>
      </c>
      <c r="B1023" t="s">
        <v>1982</v>
      </c>
      <c r="C1023" t="str">
        <f>"MPIA0"</f>
        <v>MPIA0</v>
      </c>
      <c r="D1023" t="str">
        <f>"4203 "</f>
        <v xml:space="preserve">4203 </v>
      </c>
      <c r="E1023" t="str">
        <f>"282A"</f>
        <v>282A</v>
      </c>
      <c r="F1023" t="s">
        <v>1983</v>
      </c>
      <c r="G1023" s="1">
        <v>300</v>
      </c>
      <c r="H1023" t="s">
        <v>124</v>
      </c>
      <c r="I1023" t="s">
        <v>15</v>
      </c>
      <c r="J1023" s="1">
        <v>639.89</v>
      </c>
    </row>
    <row r="1024" spans="1:10" x14ac:dyDescent="0.25">
      <c r="A1024" t="str">
        <f t="shared" si="69"/>
        <v>07/20/20</v>
      </c>
      <c r="B1024" t="s">
        <v>1984</v>
      </c>
      <c r="C1024" t="str">
        <f>"21213"</f>
        <v>21213</v>
      </c>
      <c r="D1024" t="str">
        <f>"1456 "</f>
        <v xml:space="preserve">1456 </v>
      </c>
      <c r="E1024" t="str">
        <f>"087 "</f>
        <v xml:space="preserve">087 </v>
      </c>
      <c r="F1024" t="s">
        <v>1985</v>
      </c>
      <c r="G1024" s="1">
        <v>1000</v>
      </c>
      <c r="H1024" t="s">
        <v>33</v>
      </c>
      <c r="I1024" t="s">
        <v>15</v>
      </c>
      <c r="J1024" s="1">
        <v>571147.93999999994</v>
      </c>
    </row>
    <row r="1025" spans="1:10" x14ac:dyDescent="0.25">
      <c r="A1025" t="str">
        <f t="shared" si="69"/>
        <v>07/20/20</v>
      </c>
      <c r="B1025" t="s">
        <v>1986</v>
      </c>
      <c r="C1025" t="str">
        <f>"21215"</f>
        <v>21215</v>
      </c>
      <c r="D1025" t="str">
        <f>"4543 "</f>
        <v xml:space="preserve">4543 </v>
      </c>
      <c r="E1025" t="str">
        <f>"012 "</f>
        <v xml:space="preserve">012 </v>
      </c>
      <c r="F1025" t="s">
        <v>1987</v>
      </c>
      <c r="G1025" s="1">
        <v>21000</v>
      </c>
      <c r="H1025" t="s">
        <v>161</v>
      </c>
      <c r="I1025" t="s">
        <v>34</v>
      </c>
      <c r="J1025" s="1">
        <v>10719.48</v>
      </c>
    </row>
    <row r="1026" spans="1:10" x14ac:dyDescent="0.25">
      <c r="A1026" t="str">
        <f t="shared" si="69"/>
        <v>07/20/20</v>
      </c>
      <c r="B1026" t="s">
        <v>1988</v>
      </c>
      <c r="C1026" t="str">
        <f>"21217"</f>
        <v>21217</v>
      </c>
      <c r="D1026" t="str">
        <f>"3228C"</f>
        <v>3228C</v>
      </c>
      <c r="E1026" t="str">
        <f>"003 "</f>
        <v xml:space="preserve">003 </v>
      </c>
      <c r="F1026" t="s">
        <v>1989</v>
      </c>
      <c r="G1026" s="1">
        <v>100400</v>
      </c>
      <c r="H1026" t="s">
        <v>142</v>
      </c>
      <c r="I1026" t="s">
        <v>34</v>
      </c>
      <c r="J1026" s="1">
        <v>321732.32</v>
      </c>
    </row>
    <row r="1027" spans="1:10" x14ac:dyDescent="0.25">
      <c r="A1027" t="str">
        <f t="shared" ref="A1027:A1090" si="73">"07/20/20"</f>
        <v>07/20/20</v>
      </c>
      <c r="B1027" t="s">
        <v>1990</v>
      </c>
      <c r="C1027" t="str">
        <f>"21217"</f>
        <v>21217</v>
      </c>
      <c r="D1027" t="str">
        <f>"3265B"</f>
        <v>3265B</v>
      </c>
      <c r="E1027" t="str">
        <f>"013 "</f>
        <v xml:space="preserve">013 </v>
      </c>
      <c r="F1027" t="s">
        <v>1991</v>
      </c>
      <c r="G1027" s="1">
        <v>900</v>
      </c>
      <c r="H1027" t="s">
        <v>33</v>
      </c>
      <c r="I1027" t="s">
        <v>15</v>
      </c>
      <c r="J1027" s="1">
        <v>7122.61</v>
      </c>
    </row>
    <row r="1028" spans="1:10" x14ac:dyDescent="0.25">
      <c r="A1028" t="str">
        <f t="shared" si="73"/>
        <v>07/20/20</v>
      </c>
      <c r="B1028" t="s">
        <v>1992</v>
      </c>
      <c r="C1028" t="str">
        <f>"21215"</f>
        <v>21215</v>
      </c>
      <c r="D1028" t="str">
        <f>"3305A"</f>
        <v>3305A</v>
      </c>
      <c r="E1028" t="str">
        <f>"015 "</f>
        <v xml:space="preserve">015 </v>
      </c>
      <c r="F1028" t="s">
        <v>1993</v>
      </c>
      <c r="G1028" s="1">
        <v>1000</v>
      </c>
      <c r="H1028" t="s">
        <v>14</v>
      </c>
      <c r="I1028" t="s">
        <v>15</v>
      </c>
      <c r="J1028" s="1">
        <v>5484.84</v>
      </c>
    </row>
    <row r="1029" spans="1:10" x14ac:dyDescent="0.25">
      <c r="A1029" t="str">
        <f t="shared" si="73"/>
        <v>07/20/20</v>
      </c>
      <c r="B1029" t="s">
        <v>1994</v>
      </c>
      <c r="C1029" t="str">
        <f>"21217"</f>
        <v>21217</v>
      </c>
      <c r="D1029" t="str">
        <f>"3244 "</f>
        <v xml:space="preserve">3244 </v>
      </c>
      <c r="E1029" t="str">
        <f>"005 "</f>
        <v xml:space="preserve">005 </v>
      </c>
      <c r="F1029" t="s">
        <v>1995</v>
      </c>
      <c r="G1029" s="1">
        <v>82300</v>
      </c>
      <c r="H1029" t="s">
        <v>142</v>
      </c>
      <c r="I1029" t="s">
        <v>34</v>
      </c>
      <c r="J1029" s="1">
        <v>23690.54</v>
      </c>
    </row>
    <row r="1030" spans="1:10" x14ac:dyDescent="0.25">
      <c r="A1030" t="str">
        <f t="shared" si="73"/>
        <v>07/20/20</v>
      </c>
      <c r="B1030" t="s">
        <v>1996</v>
      </c>
      <c r="C1030" t="str">
        <f>"21215"</f>
        <v>21215</v>
      </c>
      <c r="D1030" t="str">
        <f>"3322 "</f>
        <v xml:space="preserve">3322 </v>
      </c>
      <c r="E1030" t="str">
        <f>"026 "</f>
        <v xml:space="preserve">026 </v>
      </c>
      <c r="F1030" t="s">
        <v>1997</v>
      </c>
      <c r="G1030" s="1">
        <v>6000</v>
      </c>
      <c r="H1030" t="s">
        <v>14</v>
      </c>
      <c r="I1030" t="s">
        <v>15</v>
      </c>
      <c r="J1030" s="1">
        <v>504.98</v>
      </c>
    </row>
    <row r="1031" spans="1:10" x14ac:dyDescent="0.25">
      <c r="A1031" t="str">
        <f t="shared" si="73"/>
        <v>07/20/20</v>
      </c>
      <c r="B1031" t="s">
        <v>1998</v>
      </c>
      <c r="C1031" t="str">
        <f>"21217"</f>
        <v>21217</v>
      </c>
      <c r="D1031" t="str">
        <f>"3244 "</f>
        <v xml:space="preserve">3244 </v>
      </c>
      <c r="E1031" t="str">
        <f>"001 "</f>
        <v xml:space="preserve">001 </v>
      </c>
      <c r="F1031" t="s">
        <v>1999</v>
      </c>
      <c r="G1031" s="1">
        <v>90000</v>
      </c>
      <c r="H1031" t="s">
        <v>142</v>
      </c>
      <c r="I1031" t="s">
        <v>34</v>
      </c>
      <c r="J1031" s="1">
        <v>90447.73</v>
      </c>
    </row>
    <row r="1032" spans="1:10" x14ac:dyDescent="0.25">
      <c r="A1032" t="str">
        <f t="shared" si="73"/>
        <v>07/20/20</v>
      </c>
      <c r="B1032" t="s">
        <v>2000</v>
      </c>
      <c r="C1032" t="str">
        <f>"21217"</f>
        <v>21217</v>
      </c>
      <c r="D1032" t="str">
        <f>"3244 "</f>
        <v xml:space="preserve">3244 </v>
      </c>
      <c r="E1032" t="str">
        <f>"003 "</f>
        <v xml:space="preserve">003 </v>
      </c>
      <c r="F1032" t="s">
        <v>2001</v>
      </c>
      <c r="G1032" s="1">
        <v>32100</v>
      </c>
      <c r="H1032" t="s">
        <v>142</v>
      </c>
      <c r="I1032" t="s">
        <v>34</v>
      </c>
      <c r="J1032" s="1">
        <v>19309.88</v>
      </c>
    </row>
    <row r="1033" spans="1:10" x14ac:dyDescent="0.25">
      <c r="A1033" t="str">
        <f t="shared" si="73"/>
        <v>07/20/20</v>
      </c>
      <c r="B1033" t="s">
        <v>2002</v>
      </c>
      <c r="C1033" t="str">
        <f>"21215"</f>
        <v>21215</v>
      </c>
      <c r="D1033" t="str">
        <f>"3185 "</f>
        <v xml:space="preserve">3185 </v>
      </c>
      <c r="E1033" t="str">
        <f>"006 "</f>
        <v xml:space="preserve">006 </v>
      </c>
      <c r="F1033" t="s">
        <v>2003</v>
      </c>
      <c r="G1033" s="1">
        <v>33300</v>
      </c>
      <c r="H1033" t="s">
        <v>14</v>
      </c>
      <c r="I1033" t="s">
        <v>15</v>
      </c>
      <c r="J1033" s="1">
        <v>295822.05</v>
      </c>
    </row>
    <row r="1034" spans="1:10" x14ac:dyDescent="0.25">
      <c r="A1034" t="str">
        <f t="shared" si="73"/>
        <v>07/20/20</v>
      </c>
      <c r="B1034" t="s">
        <v>2004</v>
      </c>
      <c r="C1034" t="str">
        <f t="shared" ref="C1034:C1044" si="74">"21217"</f>
        <v>21217</v>
      </c>
      <c r="D1034" t="str">
        <f>"3403 "</f>
        <v xml:space="preserve">3403 </v>
      </c>
      <c r="E1034" t="str">
        <f>"074 "</f>
        <v xml:space="preserve">074 </v>
      </c>
      <c r="F1034" t="s">
        <v>1853</v>
      </c>
      <c r="G1034" s="1">
        <v>51800</v>
      </c>
      <c r="H1034" t="s">
        <v>33</v>
      </c>
      <c r="I1034" t="s">
        <v>15</v>
      </c>
      <c r="J1034" s="1">
        <v>38364.230000000003</v>
      </c>
    </row>
    <row r="1035" spans="1:10" x14ac:dyDescent="0.25">
      <c r="A1035" t="str">
        <f t="shared" si="73"/>
        <v>07/20/20</v>
      </c>
      <c r="B1035" t="s">
        <v>2005</v>
      </c>
      <c r="C1035" t="str">
        <f t="shared" si="74"/>
        <v>21217</v>
      </c>
      <c r="D1035" t="str">
        <f>"3212 "</f>
        <v xml:space="preserve">3212 </v>
      </c>
      <c r="E1035" t="str">
        <f>"073 "</f>
        <v xml:space="preserve">073 </v>
      </c>
      <c r="F1035" t="s">
        <v>332</v>
      </c>
      <c r="G1035" s="1">
        <v>7000</v>
      </c>
      <c r="H1035" t="s">
        <v>33</v>
      </c>
      <c r="I1035" t="s">
        <v>34</v>
      </c>
      <c r="J1035" s="1">
        <v>48844.58</v>
      </c>
    </row>
    <row r="1036" spans="1:10" x14ac:dyDescent="0.25">
      <c r="A1036" t="str">
        <f t="shared" si="73"/>
        <v>07/20/20</v>
      </c>
      <c r="B1036" t="s">
        <v>2006</v>
      </c>
      <c r="C1036" t="str">
        <f t="shared" si="74"/>
        <v>21217</v>
      </c>
      <c r="D1036" t="str">
        <f>"3212 "</f>
        <v xml:space="preserve">3212 </v>
      </c>
      <c r="E1036" t="str">
        <f>"079 "</f>
        <v xml:space="preserve">079 </v>
      </c>
      <c r="F1036" t="s">
        <v>2007</v>
      </c>
      <c r="G1036" s="1">
        <v>7000</v>
      </c>
      <c r="H1036" t="s">
        <v>33</v>
      </c>
      <c r="I1036" t="s">
        <v>34</v>
      </c>
      <c r="J1036" s="1">
        <v>28289.51</v>
      </c>
    </row>
    <row r="1037" spans="1:10" x14ac:dyDescent="0.25">
      <c r="A1037" t="str">
        <f t="shared" si="73"/>
        <v>07/20/20</v>
      </c>
      <c r="B1037" t="s">
        <v>2008</v>
      </c>
      <c r="C1037" t="str">
        <f t="shared" si="74"/>
        <v>21217</v>
      </c>
      <c r="D1037" t="str">
        <f>"3210 "</f>
        <v xml:space="preserve">3210 </v>
      </c>
      <c r="E1037" t="str">
        <f>"076 "</f>
        <v xml:space="preserve">076 </v>
      </c>
      <c r="F1037" t="s">
        <v>2009</v>
      </c>
      <c r="G1037" s="1">
        <v>1000</v>
      </c>
      <c r="H1037" t="s">
        <v>33</v>
      </c>
      <c r="I1037" t="s">
        <v>15</v>
      </c>
      <c r="J1037" s="1">
        <v>72392.33</v>
      </c>
    </row>
    <row r="1038" spans="1:10" x14ac:dyDescent="0.25">
      <c r="A1038" t="str">
        <f t="shared" si="73"/>
        <v>07/20/20</v>
      </c>
      <c r="B1038" t="s">
        <v>2010</v>
      </c>
      <c r="C1038" t="str">
        <f t="shared" si="74"/>
        <v>21217</v>
      </c>
      <c r="D1038" t="str">
        <f>"3210 "</f>
        <v xml:space="preserve">3210 </v>
      </c>
      <c r="E1038" t="str">
        <f>"053 "</f>
        <v xml:space="preserve">053 </v>
      </c>
      <c r="F1038" t="s">
        <v>2011</v>
      </c>
      <c r="G1038" s="1">
        <v>1000</v>
      </c>
      <c r="H1038" t="s">
        <v>33</v>
      </c>
      <c r="I1038" t="s">
        <v>15</v>
      </c>
      <c r="J1038" s="1">
        <v>36570.449999999997</v>
      </c>
    </row>
    <row r="1039" spans="1:10" x14ac:dyDescent="0.25">
      <c r="A1039" t="str">
        <f t="shared" si="73"/>
        <v>07/20/20</v>
      </c>
      <c r="B1039" t="s">
        <v>2012</v>
      </c>
      <c r="C1039" t="str">
        <f t="shared" si="74"/>
        <v>21217</v>
      </c>
      <c r="D1039" t="str">
        <f>"3211 "</f>
        <v xml:space="preserve">3211 </v>
      </c>
      <c r="E1039" t="str">
        <f>"085 "</f>
        <v xml:space="preserve">085 </v>
      </c>
      <c r="F1039" t="s">
        <v>2013</v>
      </c>
      <c r="G1039" s="1">
        <v>7000</v>
      </c>
      <c r="H1039" t="s">
        <v>33</v>
      </c>
      <c r="I1039" t="s">
        <v>34</v>
      </c>
      <c r="J1039" s="1">
        <v>12445.79</v>
      </c>
    </row>
    <row r="1040" spans="1:10" x14ac:dyDescent="0.25">
      <c r="A1040" t="str">
        <f t="shared" si="73"/>
        <v>07/20/20</v>
      </c>
      <c r="B1040" t="s">
        <v>2014</v>
      </c>
      <c r="C1040" t="str">
        <f t="shared" si="74"/>
        <v>21217</v>
      </c>
      <c r="D1040" t="str">
        <f>"3210 "</f>
        <v xml:space="preserve">3210 </v>
      </c>
      <c r="E1040" t="str">
        <f>"057 "</f>
        <v xml:space="preserve">057 </v>
      </c>
      <c r="F1040" t="s">
        <v>2015</v>
      </c>
      <c r="G1040" s="1">
        <v>1000</v>
      </c>
      <c r="H1040" t="s">
        <v>33</v>
      </c>
      <c r="I1040" t="s">
        <v>15</v>
      </c>
      <c r="J1040" s="1">
        <v>62099.23</v>
      </c>
    </row>
    <row r="1041" spans="1:10" x14ac:dyDescent="0.25">
      <c r="A1041" t="str">
        <f t="shared" si="73"/>
        <v>07/20/20</v>
      </c>
      <c r="B1041" t="s">
        <v>2016</v>
      </c>
      <c r="C1041" t="str">
        <f t="shared" si="74"/>
        <v>21217</v>
      </c>
      <c r="D1041" t="str">
        <f>"3210 "</f>
        <v xml:space="preserve">3210 </v>
      </c>
      <c r="E1041" t="str">
        <f>"073 "</f>
        <v xml:space="preserve">073 </v>
      </c>
      <c r="F1041" t="s">
        <v>2009</v>
      </c>
      <c r="G1041" s="1">
        <v>1000</v>
      </c>
      <c r="H1041" t="s">
        <v>33</v>
      </c>
      <c r="I1041" t="s">
        <v>15</v>
      </c>
      <c r="J1041" s="1">
        <v>74702.44</v>
      </c>
    </row>
    <row r="1042" spans="1:10" x14ac:dyDescent="0.25">
      <c r="A1042" t="str">
        <f t="shared" si="73"/>
        <v>07/20/20</v>
      </c>
      <c r="B1042" t="s">
        <v>2017</v>
      </c>
      <c r="C1042" t="str">
        <f t="shared" si="74"/>
        <v>21217</v>
      </c>
      <c r="D1042" t="str">
        <f>"3210 "</f>
        <v xml:space="preserve">3210 </v>
      </c>
      <c r="E1042" t="str">
        <f>"075 "</f>
        <v xml:space="preserve">075 </v>
      </c>
      <c r="F1042" t="s">
        <v>2009</v>
      </c>
      <c r="G1042" s="1">
        <v>1000</v>
      </c>
      <c r="H1042" t="s">
        <v>33</v>
      </c>
      <c r="I1042" t="s">
        <v>15</v>
      </c>
      <c r="J1042" s="1">
        <v>43178.81</v>
      </c>
    </row>
    <row r="1043" spans="1:10" x14ac:dyDescent="0.25">
      <c r="A1043" t="str">
        <f t="shared" si="73"/>
        <v>07/20/20</v>
      </c>
      <c r="B1043" t="s">
        <v>2018</v>
      </c>
      <c r="C1043" t="str">
        <f t="shared" si="74"/>
        <v>21217</v>
      </c>
      <c r="D1043" t="str">
        <f>"3210 "</f>
        <v xml:space="preserve">3210 </v>
      </c>
      <c r="E1043" t="str">
        <f>"068 "</f>
        <v xml:space="preserve">068 </v>
      </c>
      <c r="F1043" t="s">
        <v>2019</v>
      </c>
      <c r="G1043" s="1">
        <v>1000</v>
      </c>
      <c r="H1043" t="s">
        <v>33</v>
      </c>
      <c r="I1043" t="s">
        <v>15</v>
      </c>
      <c r="J1043" s="1">
        <v>68999.03</v>
      </c>
    </row>
    <row r="1044" spans="1:10" x14ac:dyDescent="0.25">
      <c r="A1044" t="str">
        <f t="shared" si="73"/>
        <v>07/20/20</v>
      </c>
      <c r="B1044" t="s">
        <v>2020</v>
      </c>
      <c r="C1044" t="str">
        <f t="shared" si="74"/>
        <v>21217</v>
      </c>
      <c r="D1044" t="str">
        <f>"3210 "</f>
        <v xml:space="preserve">3210 </v>
      </c>
      <c r="E1044" t="str">
        <f>"046 "</f>
        <v xml:space="preserve">046 </v>
      </c>
      <c r="F1044" t="s">
        <v>1999</v>
      </c>
      <c r="G1044" s="1">
        <v>1000</v>
      </c>
      <c r="H1044" t="s">
        <v>33</v>
      </c>
      <c r="I1044" t="s">
        <v>15</v>
      </c>
      <c r="J1044" s="1">
        <v>80598.58</v>
      </c>
    </row>
    <row r="1045" spans="1:10" x14ac:dyDescent="0.25">
      <c r="A1045" t="str">
        <f t="shared" si="73"/>
        <v>07/20/20</v>
      </c>
      <c r="B1045" t="s">
        <v>2021</v>
      </c>
      <c r="C1045" t="str">
        <f>"21215"</f>
        <v>21215</v>
      </c>
      <c r="D1045" t="str">
        <f>"3193A"</f>
        <v>3193A</v>
      </c>
      <c r="E1045" t="str">
        <f>"050 "</f>
        <v xml:space="preserve">050 </v>
      </c>
      <c r="F1045" t="s">
        <v>2022</v>
      </c>
      <c r="G1045" s="1">
        <v>95900</v>
      </c>
      <c r="H1045" t="s">
        <v>2023</v>
      </c>
      <c r="I1045" t="s">
        <v>15</v>
      </c>
      <c r="J1045" s="1">
        <v>8619.9599999999991</v>
      </c>
    </row>
    <row r="1046" spans="1:10" x14ac:dyDescent="0.25">
      <c r="A1046" t="str">
        <f t="shared" si="73"/>
        <v>07/20/20</v>
      </c>
      <c r="B1046" t="s">
        <v>2024</v>
      </c>
      <c r="C1046" t="str">
        <f>"21215"</f>
        <v>21215</v>
      </c>
      <c r="D1046" t="str">
        <f>"2960 "</f>
        <v xml:space="preserve">2960 </v>
      </c>
      <c r="E1046" t="str">
        <f>"023 "</f>
        <v xml:space="preserve">023 </v>
      </c>
      <c r="F1046" t="s">
        <v>2025</v>
      </c>
      <c r="G1046" s="1">
        <v>82100</v>
      </c>
      <c r="H1046" t="s">
        <v>91</v>
      </c>
      <c r="I1046" t="s">
        <v>15</v>
      </c>
      <c r="J1046" s="1">
        <v>10656.6</v>
      </c>
    </row>
    <row r="1047" spans="1:10" x14ac:dyDescent="0.25">
      <c r="A1047" t="str">
        <f t="shared" si="73"/>
        <v>07/20/20</v>
      </c>
      <c r="B1047" t="s">
        <v>2026</v>
      </c>
      <c r="C1047" t="str">
        <f>"21215"</f>
        <v>21215</v>
      </c>
      <c r="D1047" t="str">
        <f>"2960 "</f>
        <v xml:space="preserve">2960 </v>
      </c>
      <c r="E1047" t="str">
        <f>"019 "</f>
        <v xml:space="preserve">019 </v>
      </c>
      <c r="F1047" t="s">
        <v>2027</v>
      </c>
      <c r="G1047" s="1">
        <v>93700</v>
      </c>
      <c r="H1047" t="s">
        <v>91</v>
      </c>
      <c r="I1047" t="s">
        <v>34</v>
      </c>
      <c r="J1047" s="1">
        <v>24970.95</v>
      </c>
    </row>
    <row r="1048" spans="1:10" x14ac:dyDescent="0.25">
      <c r="A1048" t="str">
        <f t="shared" si="73"/>
        <v>07/20/20</v>
      </c>
      <c r="B1048" t="s">
        <v>2028</v>
      </c>
      <c r="C1048" t="str">
        <f>"21216"</f>
        <v>21216</v>
      </c>
      <c r="D1048" t="str">
        <f>"2388 "</f>
        <v xml:space="preserve">2388 </v>
      </c>
      <c r="E1048" t="str">
        <f>"019 "</f>
        <v xml:space="preserve">019 </v>
      </c>
      <c r="F1048" t="s">
        <v>2029</v>
      </c>
      <c r="G1048" s="1">
        <v>1000</v>
      </c>
      <c r="H1048" t="s">
        <v>14</v>
      </c>
      <c r="I1048" t="s">
        <v>15</v>
      </c>
      <c r="J1048" s="1">
        <v>36430.959999999999</v>
      </c>
    </row>
    <row r="1049" spans="1:10" x14ac:dyDescent="0.25">
      <c r="A1049" t="str">
        <f t="shared" si="73"/>
        <v>07/20/20</v>
      </c>
      <c r="B1049" t="s">
        <v>2030</v>
      </c>
      <c r="C1049" t="str">
        <f>"21216"</f>
        <v>21216</v>
      </c>
      <c r="D1049" t="str">
        <f>"2395 "</f>
        <v xml:space="preserve">2395 </v>
      </c>
      <c r="E1049" t="str">
        <f>"056 "</f>
        <v xml:space="preserve">056 </v>
      </c>
      <c r="F1049" t="s">
        <v>2031</v>
      </c>
      <c r="G1049" s="1">
        <v>30000</v>
      </c>
      <c r="H1049" t="s">
        <v>14</v>
      </c>
      <c r="I1049" t="s">
        <v>34</v>
      </c>
      <c r="J1049" s="1">
        <v>16423.689999999999</v>
      </c>
    </row>
    <row r="1050" spans="1:10" x14ac:dyDescent="0.25">
      <c r="A1050" t="str">
        <f t="shared" si="73"/>
        <v>07/20/20</v>
      </c>
      <c r="B1050" t="s">
        <v>2032</v>
      </c>
      <c r="C1050" t="str">
        <f>"21216"</f>
        <v>21216</v>
      </c>
      <c r="D1050" t="str">
        <f>"2366 "</f>
        <v xml:space="preserve">2366 </v>
      </c>
      <c r="E1050" t="str">
        <f>"036 "</f>
        <v xml:space="preserve">036 </v>
      </c>
      <c r="F1050" t="s">
        <v>2033</v>
      </c>
      <c r="G1050" s="1">
        <v>1000</v>
      </c>
      <c r="H1050" t="s">
        <v>14</v>
      </c>
      <c r="I1050" t="s">
        <v>15</v>
      </c>
      <c r="J1050" s="1">
        <v>142985.07</v>
      </c>
    </row>
    <row r="1051" spans="1:10" x14ac:dyDescent="0.25">
      <c r="A1051" t="str">
        <f>"07/20/20"</f>
        <v>07/20/20</v>
      </c>
      <c r="B1051" t="s">
        <v>2034</v>
      </c>
      <c r="C1051" t="str">
        <f>"21217"</f>
        <v>21217</v>
      </c>
      <c r="D1051" t="str">
        <f>"0049 "</f>
        <v xml:space="preserve">0049 </v>
      </c>
      <c r="E1051" t="str">
        <f>"045 "</f>
        <v xml:space="preserve">045 </v>
      </c>
      <c r="F1051" t="s">
        <v>2035</v>
      </c>
      <c r="G1051" s="1">
        <v>3000</v>
      </c>
      <c r="H1051" t="s">
        <v>33</v>
      </c>
      <c r="I1051" t="s">
        <v>15</v>
      </c>
      <c r="J1051" s="1">
        <v>39497.24</v>
      </c>
    </row>
    <row r="1052" spans="1:10" x14ac:dyDescent="0.25">
      <c r="A1052" t="str">
        <f>"07/20/20"</f>
        <v>07/20/20</v>
      </c>
      <c r="B1052" t="s">
        <v>2036</v>
      </c>
      <c r="C1052" t="str">
        <f>"21217"</f>
        <v>21217</v>
      </c>
      <c r="D1052" t="str">
        <f>"0061 "</f>
        <v xml:space="preserve">0061 </v>
      </c>
      <c r="E1052" t="str">
        <f>"023 "</f>
        <v xml:space="preserve">023 </v>
      </c>
      <c r="F1052" t="s">
        <v>2037</v>
      </c>
      <c r="G1052" s="1">
        <v>7000</v>
      </c>
      <c r="H1052" t="s">
        <v>33</v>
      </c>
      <c r="I1052" t="s">
        <v>15</v>
      </c>
      <c r="J1052" s="1">
        <v>24055.14</v>
      </c>
    </row>
    <row r="1053" spans="1:10" x14ac:dyDescent="0.25">
      <c r="A1053" t="str">
        <f>"07/20/20"</f>
        <v>07/20/20</v>
      </c>
      <c r="B1053" t="s">
        <v>2038</v>
      </c>
      <c r="C1053" t="str">
        <f>"21217"</f>
        <v>21217</v>
      </c>
      <c r="D1053" t="str">
        <f>"0061 "</f>
        <v xml:space="preserve">0061 </v>
      </c>
      <c r="E1053" t="str">
        <f>"020 "</f>
        <v xml:space="preserve">020 </v>
      </c>
      <c r="F1053" t="s">
        <v>2039</v>
      </c>
      <c r="G1053" s="1">
        <v>7000</v>
      </c>
      <c r="H1053" t="s">
        <v>33</v>
      </c>
      <c r="I1053" t="s">
        <v>34</v>
      </c>
      <c r="J1053" s="1">
        <v>33103.71</v>
      </c>
    </row>
    <row r="1054" spans="1:10" x14ac:dyDescent="0.25">
      <c r="A1054" t="str">
        <f>"07/20/20"</f>
        <v>07/20/20</v>
      </c>
      <c r="B1054" t="s">
        <v>2040</v>
      </c>
      <c r="C1054" t="str">
        <f>"21217"</f>
        <v>21217</v>
      </c>
      <c r="D1054" t="str">
        <f>"0050 "</f>
        <v xml:space="preserve">0050 </v>
      </c>
      <c r="E1054" t="str">
        <f>"087 "</f>
        <v xml:space="preserve">087 </v>
      </c>
      <c r="F1054" t="s">
        <v>2041</v>
      </c>
      <c r="G1054" s="1">
        <v>7000</v>
      </c>
      <c r="H1054" t="s">
        <v>33</v>
      </c>
      <c r="I1054" t="s">
        <v>34</v>
      </c>
      <c r="J1054" s="1">
        <v>5055.54</v>
      </c>
    </row>
    <row r="1055" spans="1:10" x14ac:dyDescent="0.25">
      <c r="A1055" t="str">
        <f>"07/20/20"</f>
        <v>07/20/20</v>
      </c>
      <c r="B1055" t="s">
        <v>2042</v>
      </c>
      <c r="C1055" t="str">
        <f>"21217"</f>
        <v>21217</v>
      </c>
      <c r="D1055" t="str">
        <f>"0055D"</f>
        <v>0055D</v>
      </c>
      <c r="E1055" t="str">
        <f>"066 "</f>
        <v xml:space="preserve">066 </v>
      </c>
      <c r="F1055" t="s">
        <v>2043</v>
      </c>
      <c r="G1055" s="1">
        <v>1000</v>
      </c>
      <c r="H1055" t="s">
        <v>33</v>
      </c>
      <c r="I1055" t="s">
        <v>15</v>
      </c>
      <c r="J1055" s="1">
        <v>57593.31</v>
      </c>
    </row>
    <row r="1056" spans="1:10" x14ac:dyDescent="0.25">
      <c r="A1056" t="str">
        <f>"07/20/20"</f>
        <v>07/20/20</v>
      </c>
      <c r="B1056" t="s">
        <v>2044</v>
      </c>
      <c r="C1056" t="str">
        <f>"21217"</f>
        <v>21217</v>
      </c>
      <c r="D1056" t="str">
        <f>"0055D"</f>
        <v>0055D</v>
      </c>
      <c r="E1056" t="str">
        <f>"061 "</f>
        <v xml:space="preserve">061 </v>
      </c>
      <c r="F1056" t="s">
        <v>2045</v>
      </c>
      <c r="G1056" s="1">
        <v>6000</v>
      </c>
      <c r="H1056" t="s">
        <v>33</v>
      </c>
      <c r="I1056" t="s">
        <v>34</v>
      </c>
      <c r="J1056" s="1">
        <v>555.1</v>
      </c>
    </row>
    <row r="1057" spans="1:10" x14ac:dyDescent="0.25">
      <c r="A1057" t="str">
        <f>"07/20/20"</f>
        <v>07/20/20</v>
      </c>
      <c r="B1057" t="s">
        <v>2046</v>
      </c>
      <c r="C1057" t="str">
        <f>"21217"</f>
        <v>21217</v>
      </c>
      <c r="D1057" t="str">
        <f>"0041 "</f>
        <v xml:space="preserve">0041 </v>
      </c>
      <c r="E1057" t="str">
        <f>"069 "</f>
        <v xml:space="preserve">069 </v>
      </c>
      <c r="F1057" t="s">
        <v>2047</v>
      </c>
      <c r="G1057" s="1">
        <v>1000</v>
      </c>
      <c r="H1057" t="s">
        <v>33</v>
      </c>
      <c r="I1057" t="s">
        <v>15</v>
      </c>
      <c r="J1057" s="1">
        <v>99770.05</v>
      </c>
    </row>
    <row r="1058" spans="1:10" x14ac:dyDescent="0.25">
      <c r="A1058" t="str">
        <f>"07/20/20"</f>
        <v>07/20/20</v>
      </c>
      <c r="B1058" t="s">
        <v>2048</v>
      </c>
      <c r="C1058" t="str">
        <f>"21218"</f>
        <v>21218</v>
      </c>
      <c r="D1058" t="str">
        <f>"4011B"</f>
        <v>4011B</v>
      </c>
      <c r="E1058" t="str">
        <f>"028 "</f>
        <v xml:space="preserve">028 </v>
      </c>
      <c r="F1058" t="s">
        <v>233</v>
      </c>
      <c r="G1058" s="1">
        <v>38000</v>
      </c>
      <c r="H1058" t="s">
        <v>33</v>
      </c>
      <c r="I1058" t="s">
        <v>15</v>
      </c>
      <c r="J1058" s="1">
        <v>10151.18</v>
      </c>
    </row>
    <row r="1059" spans="1:10" x14ac:dyDescent="0.25">
      <c r="A1059" t="str">
        <f>"07/20/20"</f>
        <v>07/20/20</v>
      </c>
      <c r="B1059" t="s">
        <v>2049</v>
      </c>
      <c r="C1059" t="str">
        <f>"21218"</f>
        <v>21218</v>
      </c>
      <c r="D1059" t="str">
        <f>"4011B"</f>
        <v>4011B</v>
      </c>
      <c r="E1059" t="str">
        <f>"017 "</f>
        <v xml:space="preserve">017 </v>
      </c>
      <c r="F1059" t="s">
        <v>489</v>
      </c>
      <c r="G1059" s="1">
        <v>13000</v>
      </c>
      <c r="H1059" t="s">
        <v>33</v>
      </c>
      <c r="I1059" t="s">
        <v>34</v>
      </c>
      <c r="J1059" s="1">
        <v>3091.7</v>
      </c>
    </row>
    <row r="1060" spans="1:10" x14ac:dyDescent="0.25">
      <c r="A1060" t="str">
        <f>"07/20/20"</f>
        <v>07/20/20</v>
      </c>
      <c r="B1060" t="s">
        <v>2050</v>
      </c>
      <c r="C1060" t="str">
        <f>"21218"</f>
        <v>21218</v>
      </c>
      <c r="D1060" t="str">
        <f>"4114E"</f>
        <v>4114E</v>
      </c>
      <c r="E1060" t="str">
        <f>"041 "</f>
        <v xml:space="preserve">041 </v>
      </c>
      <c r="F1060" t="s">
        <v>2051</v>
      </c>
      <c r="G1060" s="1">
        <v>17000</v>
      </c>
      <c r="H1060" t="s">
        <v>14</v>
      </c>
      <c r="I1060" t="s">
        <v>34</v>
      </c>
      <c r="J1060" s="1">
        <v>31542.61</v>
      </c>
    </row>
    <row r="1061" spans="1:10" x14ac:dyDescent="0.25">
      <c r="A1061" t="str">
        <f>"07/20/20"</f>
        <v>07/20/20</v>
      </c>
      <c r="B1061" t="s">
        <v>2052</v>
      </c>
      <c r="C1061" t="str">
        <f>"21218"</f>
        <v>21218</v>
      </c>
      <c r="D1061" t="str">
        <f>"4114E"</f>
        <v>4114E</v>
      </c>
      <c r="E1061" t="str">
        <f>"049 "</f>
        <v xml:space="preserve">049 </v>
      </c>
      <c r="F1061" t="s">
        <v>2053</v>
      </c>
      <c r="G1061" s="1">
        <v>5000</v>
      </c>
      <c r="H1061" t="s">
        <v>14</v>
      </c>
      <c r="I1061" t="s">
        <v>34</v>
      </c>
      <c r="J1061" s="1">
        <v>149808.10999999999</v>
      </c>
    </row>
    <row r="1062" spans="1:10" x14ac:dyDescent="0.25">
      <c r="A1062" t="str">
        <f>"07/20/20"</f>
        <v>07/20/20</v>
      </c>
      <c r="B1062" t="s">
        <v>2054</v>
      </c>
      <c r="C1062" t="str">
        <f>"21218"</f>
        <v>21218</v>
      </c>
      <c r="D1062" t="str">
        <f>"4114E"</f>
        <v>4114E</v>
      </c>
      <c r="E1062" t="str">
        <f>"048 "</f>
        <v xml:space="preserve">048 </v>
      </c>
      <c r="F1062" t="s">
        <v>2055</v>
      </c>
      <c r="G1062" s="1">
        <v>1000</v>
      </c>
      <c r="H1062" t="s">
        <v>14</v>
      </c>
      <c r="I1062" t="s">
        <v>15</v>
      </c>
      <c r="J1062" s="1">
        <v>6232.85</v>
      </c>
    </row>
    <row r="1063" spans="1:10" x14ac:dyDescent="0.25">
      <c r="A1063" t="str">
        <f>"07/20/20"</f>
        <v>07/20/20</v>
      </c>
      <c r="B1063" t="s">
        <v>2056</v>
      </c>
      <c r="C1063" t="str">
        <f>"21217"</f>
        <v>21217</v>
      </c>
      <c r="D1063" t="str">
        <f>"0322 "</f>
        <v xml:space="preserve">0322 </v>
      </c>
      <c r="E1063" t="str">
        <f>"045 "</f>
        <v xml:space="preserve">045 </v>
      </c>
      <c r="F1063" t="s">
        <v>2057</v>
      </c>
      <c r="G1063" s="1">
        <v>1000</v>
      </c>
      <c r="H1063" t="s">
        <v>33</v>
      </c>
      <c r="I1063" t="s">
        <v>15</v>
      </c>
      <c r="J1063" s="1">
        <v>23986.02</v>
      </c>
    </row>
    <row r="1064" spans="1:10" x14ac:dyDescent="0.25">
      <c r="A1064" t="str">
        <f>"07/20/20"</f>
        <v>07/20/20</v>
      </c>
      <c r="B1064" t="s">
        <v>2058</v>
      </c>
      <c r="C1064" t="str">
        <f>"21224"</f>
        <v>21224</v>
      </c>
      <c r="D1064" t="str">
        <f>"1678 "</f>
        <v xml:space="preserve">1678 </v>
      </c>
      <c r="E1064" t="str">
        <f>"013 "</f>
        <v xml:space="preserve">013 </v>
      </c>
      <c r="F1064" t="s">
        <v>2059</v>
      </c>
      <c r="G1064" s="1">
        <v>103600</v>
      </c>
      <c r="H1064" t="s">
        <v>33</v>
      </c>
      <c r="I1064" t="s">
        <v>15</v>
      </c>
      <c r="J1064" s="1">
        <v>18505.29</v>
      </c>
    </row>
    <row r="1065" spans="1:10" x14ac:dyDescent="0.25">
      <c r="A1065" t="str">
        <f>"07/20/20"</f>
        <v>07/20/20</v>
      </c>
      <c r="B1065" t="s">
        <v>2060</v>
      </c>
      <c r="C1065" t="str">
        <f>"21224"</f>
        <v>21224</v>
      </c>
      <c r="D1065" t="str">
        <f>"1673 "</f>
        <v xml:space="preserve">1673 </v>
      </c>
      <c r="E1065" t="str">
        <f>"087 "</f>
        <v xml:space="preserve">087 </v>
      </c>
      <c r="F1065" t="s">
        <v>2061</v>
      </c>
      <c r="G1065" s="1">
        <v>85900</v>
      </c>
      <c r="H1065" t="s">
        <v>33</v>
      </c>
      <c r="I1065" t="s">
        <v>15</v>
      </c>
      <c r="J1065" s="1">
        <v>182540.18</v>
      </c>
    </row>
    <row r="1066" spans="1:10" x14ac:dyDescent="0.25">
      <c r="A1066" t="str">
        <f>"07/20/20"</f>
        <v>07/20/20</v>
      </c>
      <c r="B1066" t="s">
        <v>2062</v>
      </c>
      <c r="C1066" t="str">
        <f>"21205"</f>
        <v>21205</v>
      </c>
      <c r="D1066" t="str">
        <f>"1641 "</f>
        <v xml:space="preserve">1641 </v>
      </c>
      <c r="E1066" t="str">
        <f>"045 "</f>
        <v xml:space="preserve">045 </v>
      </c>
      <c r="F1066" t="s">
        <v>2063</v>
      </c>
      <c r="G1066" s="1">
        <v>7000</v>
      </c>
      <c r="H1066" t="s">
        <v>33</v>
      </c>
      <c r="I1066" t="s">
        <v>15</v>
      </c>
      <c r="J1066" s="1">
        <v>757.7</v>
      </c>
    </row>
    <row r="1067" spans="1:10" x14ac:dyDescent="0.25">
      <c r="A1067" t="str">
        <f>"07/20/20"</f>
        <v>07/20/20</v>
      </c>
      <c r="B1067" t="s">
        <v>2064</v>
      </c>
      <c r="C1067" t="str">
        <f>"21205"</f>
        <v>21205</v>
      </c>
      <c r="D1067" t="str">
        <f>"1641 "</f>
        <v xml:space="preserve">1641 </v>
      </c>
      <c r="E1067" t="str">
        <f>"051 "</f>
        <v xml:space="preserve">051 </v>
      </c>
      <c r="F1067" t="s">
        <v>2065</v>
      </c>
      <c r="G1067" s="1">
        <v>7000</v>
      </c>
      <c r="H1067" t="s">
        <v>33</v>
      </c>
      <c r="I1067" t="s">
        <v>15</v>
      </c>
      <c r="J1067" s="1">
        <v>29897.05</v>
      </c>
    </row>
    <row r="1068" spans="1:10" x14ac:dyDescent="0.25">
      <c r="A1068" t="str">
        <f>"07/20/20"</f>
        <v>07/20/20</v>
      </c>
      <c r="B1068" t="s">
        <v>2066</v>
      </c>
      <c r="C1068" t="str">
        <f>"21205"</f>
        <v>21205</v>
      </c>
      <c r="D1068" t="str">
        <f>"1641 "</f>
        <v xml:space="preserve">1641 </v>
      </c>
      <c r="E1068" t="str">
        <f>"048 "</f>
        <v xml:space="preserve">048 </v>
      </c>
      <c r="F1068" t="s">
        <v>2063</v>
      </c>
      <c r="G1068" s="1">
        <v>7000</v>
      </c>
      <c r="H1068" t="s">
        <v>33</v>
      </c>
      <c r="I1068" t="s">
        <v>15</v>
      </c>
      <c r="J1068" s="1">
        <v>757.7</v>
      </c>
    </row>
    <row r="1069" spans="1:10" x14ac:dyDescent="0.25">
      <c r="A1069" t="str">
        <f>"07/20/20"</f>
        <v>07/20/20</v>
      </c>
      <c r="B1069" t="s">
        <v>2067</v>
      </c>
      <c r="C1069" t="str">
        <f>"00000"</f>
        <v>00000</v>
      </c>
      <c r="D1069" t="str">
        <f>"1505 "</f>
        <v xml:space="preserve">1505 </v>
      </c>
      <c r="E1069" t="str">
        <f>"059 "</f>
        <v xml:space="preserve">059 </v>
      </c>
      <c r="F1069" t="s">
        <v>2068</v>
      </c>
      <c r="G1069" s="1">
        <v>3000</v>
      </c>
      <c r="H1069" t="s">
        <v>33</v>
      </c>
      <c r="I1069" t="s">
        <v>15</v>
      </c>
      <c r="J1069" s="1">
        <v>1527.69</v>
      </c>
    </row>
    <row r="1070" spans="1:10" x14ac:dyDescent="0.25">
      <c r="A1070" t="str">
        <f>"07/20/20"</f>
        <v>07/20/20</v>
      </c>
      <c r="B1070" t="s">
        <v>2069</v>
      </c>
      <c r="C1070" t="str">
        <f>"21216"</f>
        <v>21216</v>
      </c>
      <c r="D1070" t="str">
        <f>"2475C"</f>
        <v>2475C</v>
      </c>
      <c r="E1070" t="str">
        <f>"091 "</f>
        <v xml:space="preserve">091 </v>
      </c>
      <c r="F1070" t="s">
        <v>2070</v>
      </c>
      <c r="G1070" s="1">
        <v>17600</v>
      </c>
      <c r="H1070" t="s">
        <v>14</v>
      </c>
      <c r="I1070" t="s">
        <v>34</v>
      </c>
      <c r="J1070" s="1">
        <v>57487.23</v>
      </c>
    </row>
    <row r="1071" spans="1:10" x14ac:dyDescent="0.25">
      <c r="A1071" t="str">
        <f>"07/20/20"</f>
        <v>07/20/20</v>
      </c>
      <c r="B1071" t="s">
        <v>2071</v>
      </c>
      <c r="C1071" t="str">
        <f>"21216"</f>
        <v>21216</v>
      </c>
      <c r="D1071" t="str">
        <f>"2475C"</f>
        <v>2475C</v>
      </c>
      <c r="E1071" t="str">
        <f>"086 "</f>
        <v xml:space="preserve">086 </v>
      </c>
      <c r="F1071" t="s">
        <v>2072</v>
      </c>
      <c r="G1071" s="1">
        <v>17900</v>
      </c>
      <c r="H1071" t="s">
        <v>14</v>
      </c>
      <c r="I1071" t="s">
        <v>34</v>
      </c>
      <c r="J1071" s="1">
        <v>16298.73</v>
      </c>
    </row>
    <row r="1072" spans="1:10" x14ac:dyDescent="0.25">
      <c r="A1072" t="str">
        <f>"07/20/20"</f>
        <v>07/20/20</v>
      </c>
      <c r="B1072" t="s">
        <v>2073</v>
      </c>
      <c r="C1072" t="str">
        <f>"21216"</f>
        <v>21216</v>
      </c>
      <c r="D1072" t="str">
        <f>"2424B"</f>
        <v>2424B</v>
      </c>
      <c r="E1072" t="str">
        <f>"028 "</f>
        <v xml:space="preserve">028 </v>
      </c>
      <c r="F1072" t="s">
        <v>1674</v>
      </c>
      <c r="G1072" s="1">
        <v>6000</v>
      </c>
      <c r="H1072" t="s">
        <v>14</v>
      </c>
      <c r="I1072" t="s">
        <v>34</v>
      </c>
      <c r="J1072" s="1">
        <v>13975.69</v>
      </c>
    </row>
    <row r="1073" spans="1:10" x14ac:dyDescent="0.25">
      <c r="A1073" t="str">
        <f>"07/20/20"</f>
        <v>07/20/20</v>
      </c>
      <c r="B1073" t="s">
        <v>2074</v>
      </c>
      <c r="C1073" t="str">
        <f>"21216"</f>
        <v>21216</v>
      </c>
      <c r="D1073" t="str">
        <f>"2475D"</f>
        <v>2475D</v>
      </c>
      <c r="E1073" t="str">
        <f>"055 "</f>
        <v xml:space="preserve">055 </v>
      </c>
      <c r="F1073" t="s">
        <v>2075</v>
      </c>
      <c r="G1073" s="1">
        <v>19600</v>
      </c>
      <c r="H1073" t="s">
        <v>14</v>
      </c>
      <c r="I1073" t="s">
        <v>34</v>
      </c>
      <c r="J1073" s="1">
        <v>6864.38</v>
      </c>
    </row>
    <row r="1074" spans="1:10" x14ac:dyDescent="0.25">
      <c r="A1074" t="str">
        <f>"07/20/20"</f>
        <v>07/20/20</v>
      </c>
      <c r="B1074" t="s">
        <v>2076</v>
      </c>
      <c r="C1074" t="str">
        <f>"21216"</f>
        <v>21216</v>
      </c>
      <c r="D1074" t="str">
        <f>"2475D"</f>
        <v>2475D</v>
      </c>
      <c r="E1074" t="str">
        <f>"052 "</f>
        <v xml:space="preserve">052 </v>
      </c>
      <c r="F1074" t="s">
        <v>2077</v>
      </c>
      <c r="G1074" s="1">
        <v>19700</v>
      </c>
      <c r="H1074" t="s">
        <v>14</v>
      </c>
      <c r="I1074" t="s">
        <v>34</v>
      </c>
      <c r="J1074" s="1">
        <v>11440.77</v>
      </c>
    </row>
    <row r="1075" spans="1:10" x14ac:dyDescent="0.25">
      <c r="A1075" t="str">
        <f>"07/20/20"</f>
        <v>07/20/20</v>
      </c>
      <c r="B1075" t="s">
        <v>2078</v>
      </c>
      <c r="C1075" t="str">
        <f>"21215"</f>
        <v>21215</v>
      </c>
      <c r="D1075" t="str">
        <f>"3307A"</f>
        <v>3307A</v>
      </c>
      <c r="E1075" t="str">
        <f>"033 "</f>
        <v xml:space="preserve">033 </v>
      </c>
      <c r="F1075" t="s">
        <v>561</v>
      </c>
      <c r="G1075" s="1">
        <v>40000</v>
      </c>
      <c r="H1075" t="s">
        <v>14</v>
      </c>
      <c r="I1075" t="s">
        <v>15</v>
      </c>
      <c r="J1075" s="1">
        <v>26808.41</v>
      </c>
    </row>
    <row r="1076" spans="1:10" x14ac:dyDescent="0.25">
      <c r="A1076" t="str">
        <f>"07/20/20"</f>
        <v>07/20/20</v>
      </c>
      <c r="B1076" t="s">
        <v>2079</v>
      </c>
      <c r="C1076" t="str">
        <f>"21215"</f>
        <v>21215</v>
      </c>
      <c r="D1076" t="str">
        <f>"3307A"</f>
        <v>3307A</v>
      </c>
      <c r="E1076" t="str">
        <f>"031 "</f>
        <v xml:space="preserve">031 </v>
      </c>
      <c r="F1076" t="s">
        <v>561</v>
      </c>
      <c r="G1076" s="1">
        <v>21000</v>
      </c>
      <c r="H1076" t="s">
        <v>14</v>
      </c>
      <c r="I1076" t="s">
        <v>15</v>
      </c>
      <c r="J1076" s="1">
        <v>13880.08</v>
      </c>
    </row>
    <row r="1077" spans="1:10" x14ac:dyDescent="0.25">
      <c r="A1077" t="str">
        <f>"07/20/20"</f>
        <v>07/20/20</v>
      </c>
      <c r="B1077" t="s">
        <v>2080</v>
      </c>
      <c r="C1077" t="str">
        <f>"21225"</f>
        <v>21225</v>
      </c>
      <c r="D1077" t="str">
        <f>"7613 "</f>
        <v xml:space="preserve">7613 </v>
      </c>
      <c r="E1077" t="str">
        <f>"020 "</f>
        <v xml:space="preserve">020 </v>
      </c>
      <c r="F1077" t="s">
        <v>2081</v>
      </c>
      <c r="G1077" s="1">
        <v>24000</v>
      </c>
      <c r="H1077" t="s">
        <v>14</v>
      </c>
      <c r="I1077" t="s">
        <v>34</v>
      </c>
      <c r="J1077" s="1">
        <v>22976.66</v>
      </c>
    </row>
    <row r="1078" spans="1:10" x14ac:dyDescent="0.25">
      <c r="A1078" t="str">
        <f>"07/20/20"</f>
        <v>07/20/20</v>
      </c>
      <c r="B1078" t="s">
        <v>2082</v>
      </c>
      <c r="C1078" t="str">
        <f>"21225"</f>
        <v>21225</v>
      </c>
      <c r="D1078" t="str">
        <f>"7615 "</f>
        <v xml:space="preserve">7615 </v>
      </c>
      <c r="E1078" t="str">
        <f>"023 "</f>
        <v xml:space="preserve">023 </v>
      </c>
      <c r="F1078" t="s">
        <v>2083</v>
      </c>
      <c r="G1078" s="1">
        <v>24000</v>
      </c>
      <c r="H1078" t="s">
        <v>14</v>
      </c>
      <c r="I1078" t="s">
        <v>15</v>
      </c>
      <c r="J1078" s="1">
        <v>103344.21</v>
      </c>
    </row>
    <row r="1079" spans="1:10" x14ac:dyDescent="0.25">
      <c r="A1079" t="str">
        <f>"07/20/20"</f>
        <v>07/20/20</v>
      </c>
      <c r="B1079" t="s">
        <v>2084</v>
      </c>
      <c r="C1079" t="str">
        <f>"21225"</f>
        <v>21225</v>
      </c>
      <c r="D1079" t="str">
        <f>"7613 "</f>
        <v xml:space="preserve">7613 </v>
      </c>
      <c r="E1079" t="str">
        <f>"017 "</f>
        <v xml:space="preserve">017 </v>
      </c>
      <c r="F1079" t="s">
        <v>2085</v>
      </c>
      <c r="G1079" s="1">
        <v>36000</v>
      </c>
      <c r="H1079" t="s">
        <v>14</v>
      </c>
      <c r="I1079" t="s">
        <v>15</v>
      </c>
      <c r="J1079" s="1">
        <v>17823.62</v>
      </c>
    </row>
    <row r="1080" spans="1:10" x14ac:dyDescent="0.25">
      <c r="A1080" t="str">
        <f>"07/20/20"</f>
        <v>07/20/20</v>
      </c>
      <c r="B1080" t="s">
        <v>2086</v>
      </c>
      <c r="C1080" t="str">
        <f>"21215"</f>
        <v>21215</v>
      </c>
      <c r="D1080" t="str">
        <f>"3301 "</f>
        <v xml:space="preserve">3301 </v>
      </c>
      <c r="E1080" t="str">
        <f>"120F"</f>
        <v>120F</v>
      </c>
      <c r="F1080" t="s">
        <v>2087</v>
      </c>
      <c r="G1080" s="1">
        <v>30000</v>
      </c>
      <c r="H1080" t="s">
        <v>14</v>
      </c>
      <c r="I1080" t="s">
        <v>15</v>
      </c>
      <c r="J1080" s="1">
        <v>147903.12</v>
      </c>
    </row>
    <row r="1081" spans="1:10" x14ac:dyDescent="0.25">
      <c r="A1081" t="str">
        <f>"07/20/20"</f>
        <v>07/20/20</v>
      </c>
      <c r="B1081" t="s">
        <v>2088</v>
      </c>
      <c r="C1081" t="str">
        <f>"21218"</f>
        <v>21218</v>
      </c>
      <c r="D1081" t="str">
        <f>"4066 "</f>
        <v xml:space="preserve">4066 </v>
      </c>
      <c r="E1081" t="str">
        <f>"012 "</f>
        <v xml:space="preserve">012 </v>
      </c>
      <c r="F1081" t="s">
        <v>2089</v>
      </c>
      <c r="G1081" s="1">
        <v>1000</v>
      </c>
      <c r="H1081" t="s">
        <v>33</v>
      </c>
      <c r="I1081" t="s">
        <v>15</v>
      </c>
      <c r="J1081" s="1">
        <v>113207.74</v>
      </c>
    </row>
    <row r="1082" spans="1:10" x14ac:dyDescent="0.25">
      <c r="A1082" t="str">
        <f>"07/20/20"</f>
        <v>07/20/20</v>
      </c>
      <c r="B1082" t="s">
        <v>2090</v>
      </c>
      <c r="C1082" t="str">
        <f>"21218"</f>
        <v>21218</v>
      </c>
      <c r="D1082" t="str">
        <f>"4066 "</f>
        <v xml:space="preserve">4066 </v>
      </c>
      <c r="E1082" t="str">
        <f>"011 "</f>
        <v xml:space="preserve">011 </v>
      </c>
      <c r="F1082" t="s">
        <v>2091</v>
      </c>
      <c r="G1082" s="1">
        <v>1000</v>
      </c>
      <c r="H1082" t="s">
        <v>33</v>
      </c>
      <c r="I1082" t="s">
        <v>15</v>
      </c>
      <c r="J1082" s="1">
        <v>178211.48</v>
      </c>
    </row>
    <row r="1083" spans="1:10" x14ac:dyDescent="0.25">
      <c r="A1083" t="str">
        <f>"07/20/20"</f>
        <v>07/20/20</v>
      </c>
      <c r="B1083" t="s">
        <v>2092</v>
      </c>
      <c r="C1083" t="str">
        <f>"21218"</f>
        <v>21218</v>
      </c>
      <c r="D1083" t="str">
        <f>"4061 "</f>
        <v xml:space="preserve">4061 </v>
      </c>
      <c r="E1083" t="str">
        <f>"032 "</f>
        <v xml:space="preserve">032 </v>
      </c>
      <c r="F1083" t="s">
        <v>2093</v>
      </c>
      <c r="G1083" s="1">
        <v>1000</v>
      </c>
      <c r="H1083" t="s">
        <v>33</v>
      </c>
      <c r="I1083" t="s">
        <v>15</v>
      </c>
      <c r="J1083" s="1">
        <v>145309.21</v>
      </c>
    </row>
    <row r="1084" spans="1:10" x14ac:dyDescent="0.25">
      <c r="A1084" t="str">
        <f>"07/20/20"</f>
        <v>07/20/20</v>
      </c>
      <c r="B1084" t="s">
        <v>2094</v>
      </c>
      <c r="C1084" t="str">
        <f>"21218"</f>
        <v>21218</v>
      </c>
      <c r="D1084" t="str">
        <f>"4061 "</f>
        <v xml:space="preserve">4061 </v>
      </c>
      <c r="E1084" t="str">
        <f>"027 "</f>
        <v xml:space="preserve">027 </v>
      </c>
      <c r="F1084" t="s">
        <v>2095</v>
      </c>
      <c r="G1084" s="1">
        <v>1000</v>
      </c>
      <c r="H1084" t="s">
        <v>33</v>
      </c>
      <c r="I1084" t="s">
        <v>15</v>
      </c>
      <c r="J1084" s="1">
        <v>20568.849999999999</v>
      </c>
    </row>
    <row r="1085" spans="1:10" x14ac:dyDescent="0.25">
      <c r="A1085" t="str">
        <f>"07/20/20"</f>
        <v>07/20/20</v>
      </c>
      <c r="B1085" t="s">
        <v>2096</v>
      </c>
      <c r="C1085" t="str">
        <f>"21218"</f>
        <v>21218</v>
      </c>
      <c r="D1085" t="str">
        <f>"4061 "</f>
        <v xml:space="preserve">4061 </v>
      </c>
      <c r="E1085" t="str">
        <f>"023 "</f>
        <v xml:space="preserve">023 </v>
      </c>
      <c r="F1085" t="s">
        <v>1960</v>
      </c>
      <c r="G1085" s="1">
        <v>1000</v>
      </c>
      <c r="H1085" t="s">
        <v>33</v>
      </c>
      <c r="I1085" t="s">
        <v>15</v>
      </c>
      <c r="J1085" s="1">
        <v>77231.05</v>
      </c>
    </row>
    <row r="1086" spans="1:10" x14ac:dyDescent="0.25">
      <c r="A1086" t="str">
        <f>"07/20/20"</f>
        <v>07/20/20</v>
      </c>
      <c r="B1086" t="s">
        <v>2097</v>
      </c>
      <c r="C1086" t="str">
        <f>"21218"</f>
        <v>21218</v>
      </c>
      <c r="D1086" t="str">
        <f>"4061 "</f>
        <v xml:space="preserve">4061 </v>
      </c>
      <c r="E1086" t="str">
        <f>"022 "</f>
        <v xml:space="preserve">022 </v>
      </c>
      <c r="F1086" t="s">
        <v>2098</v>
      </c>
      <c r="G1086" s="1">
        <v>1000</v>
      </c>
      <c r="H1086" t="s">
        <v>33</v>
      </c>
      <c r="I1086" t="s">
        <v>15</v>
      </c>
      <c r="J1086" s="1">
        <v>1175709.3700000001</v>
      </c>
    </row>
    <row r="1087" spans="1:10" x14ac:dyDescent="0.25">
      <c r="A1087" t="str">
        <f>"07/20/20"</f>
        <v>07/20/20</v>
      </c>
      <c r="B1087" t="s">
        <v>2099</v>
      </c>
      <c r="C1087" t="str">
        <f>"21218"</f>
        <v>21218</v>
      </c>
      <c r="D1087" t="str">
        <f>"4066 "</f>
        <v xml:space="preserve">4066 </v>
      </c>
      <c r="E1087" t="str">
        <f>"007 "</f>
        <v xml:space="preserve">007 </v>
      </c>
      <c r="F1087" t="s">
        <v>2100</v>
      </c>
      <c r="G1087" s="1">
        <v>1000</v>
      </c>
      <c r="H1087" t="s">
        <v>33</v>
      </c>
      <c r="I1087" t="s">
        <v>15</v>
      </c>
      <c r="J1087" s="1">
        <v>99866.97</v>
      </c>
    </row>
    <row r="1088" spans="1:10" x14ac:dyDescent="0.25">
      <c r="A1088" t="str">
        <f>"07/20/20"</f>
        <v>07/20/20</v>
      </c>
      <c r="B1088" t="s">
        <v>2101</v>
      </c>
      <c r="C1088" t="str">
        <f>"21218"</f>
        <v>21218</v>
      </c>
      <c r="D1088" t="str">
        <f>"4061 "</f>
        <v xml:space="preserve">4061 </v>
      </c>
      <c r="E1088" t="str">
        <f>"034 "</f>
        <v xml:space="preserve">034 </v>
      </c>
      <c r="F1088" t="s">
        <v>2102</v>
      </c>
      <c r="G1088" s="1">
        <v>1000</v>
      </c>
      <c r="H1088" t="s">
        <v>33</v>
      </c>
      <c r="I1088" t="s">
        <v>15</v>
      </c>
      <c r="J1088" s="1">
        <v>3263.68</v>
      </c>
    </row>
    <row r="1089" spans="1:10" x14ac:dyDescent="0.25">
      <c r="A1089" t="str">
        <f>"07/20/20"</f>
        <v>07/20/20</v>
      </c>
      <c r="B1089" t="s">
        <v>2103</v>
      </c>
      <c r="C1089" t="str">
        <f>"21218"</f>
        <v>21218</v>
      </c>
      <c r="D1089" t="str">
        <f>"4061 "</f>
        <v xml:space="preserve">4061 </v>
      </c>
      <c r="E1089" t="str">
        <f>"033 "</f>
        <v xml:space="preserve">033 </v>
      </c>
      <c r="F1089" t="s">
        <v>2104</v>
      </c>
      <c r="G1089" s="1">
        <v>1000</v>
      </c>
      <c r="H1089" t="s">
        <v>33</v>
      </c>
      <c r="I1089" t="s">
        <v>15</v>
      </c>
      <c r="J1089" s="1">
        <v>146558.01999999999</v>
      </c>
    </row>
    <row r="1090" spans="1:10" x14ac:dyDescent="0.25">
      <c r="A1090" t="str">
        <f>"07/20/20"</f>
        <v>07/20/20</v>
      </c>
      <c r="B1090" t="s">
        <v>2105</v>
      </c>
      <c r="C1090" t="str">
        <f>"21223"</f>
        <v>21223</v>
      </c>
      <c r="D1090" t="str">
        <f>"2136 "</f>
        <v xml:space="preserve">2136 </v>
      </c>
      <c r="E1090" t="str">
        <f>"049 "</f>
        <v xml:space="preserve">049 </v>
      </c>
      <c r="F1090" t="s">
        <v>2106</v>
      </c>
      <c r="G1090" s="1">
        <v>29000</v>
      </c>
      <c r="H1090" t="s">
        <v>33</v>
      </c>
      <c r="I1090" t="s">
        <v>15</v>
      </c>
      <c r="J1090" s="1">
        <v>10254.959999999999</v>
      </c>
    </row>
    <row r="1091" spans="1:10" x14ac:dyDescent="0.25">
      <c r="A1091" t="str">
        <f>"07/20/20"</f>
        <v>07/20/20</v>
      </c>
      <c r="B1091" t="s">
        <v>2107</v>
      </c>
      <c r="C1091" t="str">
        <f>"21215"</f>
        <v>21215</v>
      </c>
      <c r="D1091" t="str">
        <f>"4544D"</f>
        <v>4544D</v>
      </c>
      <c r="E1091" t="str">
        <f>"017 "</f>
        <v xml:space="preserve">017 </v>
      </c>
      <c r="F1091" t="s">
        <v>2108</v>
      </c>
      <c r="G1091" s="1">
        <v>17000</v>
      </c>
      <c r="H1091" t="s">
        <v>14</v>
      </c>
      <c r="I1091" t="s">
        <v>34</v>
      </c>
      <c r="J1091" s="1">
        <v>557.19000000000005</v>
      </c>
    </row>
    <row r="1092" spans="1:10" x14ac:dyDescent="0.25">
      <c r="A1092" t="str">
        <f>"07/20/20"</f>
        <v>07/20/20</v>
      </c>
      <c r="B1092" t="s">
        <v>2109</v>
      </c>
      <c r="C1092" t="str">
        <f>"21215"</f>
        <v>21215</v>
      </c>
      <c r="D1092" t="str">
        <f>"4544D"</f>
        <v>4544D</v>
      </c>
      <c r="E1092" t="str">
        <f>"018 "</f>
        <v xml:space="preserve">018 </v>
      </c>
      <c r="F1092" t="s">
        <v>2110</v>
      </c>
      <c r="G1092" s="1">
        <v>17000</v>
      </c>
      <c r="H1092" t="s">
        <v>14</v>
      </c>
      <c r="I1092" t="s">
        <v>34</v>
      </c>
      <c r="J1092" s="1">
        <v>5398.74</v>
      </c>
    </row>
    <row r="1093" spans="1:10" x14ac:dyDescent="0.25">
      <c r="A1093" t="str">
        <f>"07/20/20"</f>
        <v>07/20/20</v>
      </c>
      <c r="B1093" t="s">
        <v>2111</v>
      </c>
      <c r="C1093" t="str">
        <f>"21225"</f>
        <v>21225</v>
      </c>
      <c r="D1093" t="str">
        <f>"7245A"</f>
        <v>7245A</v>
      </c>
      <c r="E1093" t="str">
        <f>"023 "</f>
        <v xml:space="preserve">023 </v>
      </c>
      <c r="F1093" t="s">
        <v>2112</v>
      </c>
      <c r="G1093" s="1">
        <v>38800</v>
      </c>
      <c r="H1093" t="s">
        <v>30</v>
      </c>
      <c r="I1093" t="s">
        <v>15</v>
      </c>
      <c r="J1093" s="1">
        <v>9521.3799999999992</v>
      </c>
    </row>
    <row r="1094" spans="1:10" x14ac:dyDescent="0.25">
      <c r="A1094" t="str">
        <f>"07/20/20"</f>
        <v>07/20/20</v>
      </c>
      <c r="B1094" t="s">
        <v>2113</v>
      </c>
      <c r="C1094" t="str">
        <f>"21225"</f>
        <v>21225</v>
      </c>
      <c r="D1094" t="str">
        <f>"7245A"</f>
        <v>7245A</v>
      </c>
      <c r="E1094" t="str">
        <f>"003 "</f>
        <v xml:space="preserve">003 </v>
      </c>
      <c r="F1094" t="s">
        <v>2114</v>
      </c>
      <c r="G1094" s="1">
        <v>47900</v>
      </c>
      <c r="H1094" t="s">
        <v>30</v>
      </c>
      <c r="I1094" t="s">
        <v>34</v>
      </c>
      <c r="J1094" s="1">
        <v>24706.68</v>
      </c>
    </row>
    <row r="1095" spans="1:10" x14ac:dyDescent="0.25">
      <c r="A1095" t="str">
        <f>"07/20/20"</f>
        <v>07/20/20</v>
      </c>
      <c r="B1095" t="s">
        <v>2115</v>
      </c>
      <c r="C1095" t="str">
        <f>"21218"</f>
        <v>21218</v>
      </c>
      <c r="D1095" t="str">
        <f>"3808 "</f>
        <v xml:space="preserve">3808 </v>
      </c>
      <c r="E1095" t="str">
        <f>"005 "</f>
        <v xml:space="preserve">005 </v>
      </c>
      <c r="F1095" t="s">
        <v>2116</v>
      </c>
      <c r="G1095" s="1">
        <v>60000</v>
      </c>
      <c r="H1095" t="s">
        <v>33</v>
      </c>
      <c r="I1095" t="s">
        <v>15</v>
      </c>
      <c r="J1095" s="1">
        <v>74370.59</v>
      </c>
    </row>
    <row r="1096" spans="1:10" x14ac:dyDescent="0.25">
      <c r="A1096" t="str">
        <f>"07/20/20"</f>
        <v>07/20/20</v>
      </c>
      <c r="B1096" t="s">
        <v>2117</v>
      </c>
      <c r="C1096" t="str">
        <f>"21218"</f>
        <v>21218</v>
      </c>
      <c r="D1096" t="str">
        <f>"3808 "</f>
        <v xml:space="preserve">3808 </v>
      </c>
      <c r="E1096" t="str">
        <f>"006 "</f>
        <v xml:space="preserve">006 </v>
      </c>
      <c r="F1096" t="s">
        <v>2118</v>
      </c>
      <c r="G1096" s="1">
        <v>60000</v>
      </c>
      <c r="H1096" t="s">
        <v>33</v>
      </c>
      <c r="I1096" t="s">
        <v>15</v>
      </c>
      <c r="J1096" s="1">
        <v>79315.78</v>
      </c>
    </row>
    <row r="1097" spans="1:10" x14ac:dyDescent="0.25">
      <c r="A1097" t="str">
        <f>"07/20/20"</f>
        <v>07/20/20</v>
      </c>
      <c r="B1097" t="s">
        <v>2119</v>
      </c>
      <c r="C1097" t="str">
        <f>"21218"</f>
        <v>21218</v>
      </c>
      <c r="D1097" t="str">
        <f>"3808 "</f>
        <v xml:space="preserve">3808 </v>
      </c>
      <c r="E1097" t="str">
        <f>"008 "</f>
        <v xml:space="preserve">008 </v>
      </c>
      <c r="F1097" t="s">
        <v>2120</v>
      </c>
      <c r="G1097" s="1">
        <v>61200</v>
      </c>
      <c r="H1097" t="s">
        <v>33</v>
      </c>
      <c r="I1097" t="s">
        <v>15</v>
      </c>
      <c r="J1097" s="1">
        <v>58685.64</v>
      </c>
    </row>
    <row r="1098" spans="1:10" x14ac:dyDescent="0.25">
      <c r="A1098" t="str">
        <f>"07/20/20"</f>
        <v>07/20/20</v>
      </c>
      <c r="B1098" t="s">
        <v>2121</v>
      </c>
      <c r="C1098" t="str">
        <f>"21218"</f>
        <v>21218</v>
      </c>
      <c r="D1098" t="str">
        <f>"3808 "</f>
        <v xml:space="preserve">3808 </v>
      </c>
      <c r="E1098" t="str">
        <f>"007 "</f>
        <v xml:space="preserve">007 </v>
      </c>
      <c r="F1098" t="s">
        <v>2118</v>
      </c>
      <c r="G1098" s="1">
        <v>61200</v>
      </c>
      <c r="H1098" t="s">
        <v>33</v>
      </c>
      <c r="I1098" t="s">
        <v>15</v>
      </c>
      <c r="J1098" s="1">
        <v>79442.080000000002</v>
      </c>
    </row>
    <row r="1099" spans="1:10" x14ac:dyDescent="0.25">
      <c r="A1099" t="str">
        <f>"07/20/20"</f>
        <v>07/20/20</v>
      </c>
      <c r="B1099" t="s">
        <v>2122</v>
      </c>
      <c r="C1099" t="str">
        <f>"21225"</f>
        <v>21225</v>
      </c>
      <c r="D1099" t="str">
        <f>"7139 "</f>
        <v xml:space="preserve">7139 </v>
      </c>
      <c r="E1099" t="str">
        <f>"028 "</f>
        <v xml:space="preserve">028 </v>
      </c>
      <c r="F1099" t="s">
        <v>2123</v>
      </c>
      <c r="G1099" s="1">
        <v>17800</v>
      </c>
      <c r="H1099" t="s">
        <v>30</v>
      </c>
      <c r="I1099" t="s">
        <v>34</v>
      </c>
      <c r="J1099" s="1">
        <v>15501.4</v>
      </c>
    </row>
    <row r="1100" spans="1:10" x14ac:dyDescent="0.25">
      <c r="A1100" t="str">
        <f>"07/20/20"</f>
        <v>07/20/20</v>
      </c>
      <c r="B1100" t="s">
        <v>2124</v>
      </c>
      <c r="C1100" t="str">
        <f>"21217"</f>
        <v>21217</v>
      </c>
      <c r="D1100" t="str">
        <f>"0298 "</f>
        <v xml:space="preserve">0298 </v>
      </c>
      <c r="E1100" t="str">
        <f>"081 "</f>
        <v xml:space="preserve">081 </v>
      </c>
      <c r="F1100" t="s">
        <v>2125</v>
      </c>
      <c r="G1100" s="1">
        <v>70200</v>
      </c>
      <c r="H1100" t="s">
        <v>33</v>
      </c>
      <c r="I1100" t="s">
        <v>15</v>
      </c>
      <c r="J1100" s="1">
        <v>21508.74</v>
      </c>
    </row>
    <row r="1101" spans="1:10" x14ac:dyDescent="0.25">
      <c r="A1101" t="str">
        <f>"07/20/20"</f>
        <v>07/20/20</v>
      </c>
      <c r="B1101" t="s">
        <v>2126</v>
      </c>
      <c r="C1101" t="str">
        <f>"21223"</f>
        <v>21223</v>
      </c>
      <c r="D1101" t="str">
        <f>"0148 "</f>
        <v xml:space="preserve">0148 </v>
      </c>
      <c r="E1101" t="str">
        <f>"026 "</f>
        <v xml:space="preserve">026 </v>
      </c>
      <c r="F1101" t="s">
        <v>2127</v>
      </c>
      <c r="G1101" s="1">
        <v>1000</v>
      </c>
      <c r="H1101" t="s">
        <v>33</v>
      </c>
      <c r="I1101" t="s">
        <v>15</v>
      </c>
      <c r="J1101" s="1">
        <v>7920.64</v>
      </c>
    </row>
    <row r="1102" spans="1:10" x14ac:dyDescent="0.25">
      <c r="A1102" t="str">
        <f>"07/20/20"</f>
        <v>07/20/20</v>
      </c>
      <c r="B1102" t="s">
        <v>2128</v>
      </c>
      <c r="C1102" t="str">
        <f>"21229"</f>
        <v>21229</v>
      </c>
      <c r="D1102" t="str">
        <f>"2299D"</f>
        <v>2299D</v>
      </c>
      <c r="E1102" t="str">
        <f>"023 "</f>
        <v xml:space="preserve">023 </v>
      </c>
      <c r="F1102" t="s">
        <v>2129</v>
      </c>
      <c r="G1102" s="1">
        <v>1500</v>
      </c>
      <c r="H1102" t="s">
        <v>14</v>
      </c>
      <c r="I1102" t="s">
        <v>15</v>
      </c>
      <c r="J1102" s="1">
        <v>45383.88</v>
      </c>
    </row>
    <row r="1103" spans="1:10" x14ac:dyDescent="0.25">
      <c r="A1103" t="str">
        <f>"07/20/20"</f>
        <v>07/20/20</v>
      </c>
      <c r="B1103" t="s">
        <v>2130</v>
      </c>
      <c r="C1103" t="str">
        <f>"21217"</f>
        <v>21217</v>
      </c>
      <c r="D1103" t="str">
        <f>"0116 "</f>
        <v xml:space="preserve">0116 </v>
      </c>
      <c r="E1103" t="str">
        <f>"036 "</f>
        <v xml:space="preserve">036 </v>
      </c>
      <c r="F1103" t="s">
        <v>2131</v>
      </c>
      <c r="G1103" s="1">
        <v>6000</v>
      </c>
      <c r="H1103" t="s">
        <v>33</v>
      </c>
      <c r="I1103" t="s">
        <v>15</v>
      </c>
      <c r="J1103" s="1">
        <v>931.81</v>
      </c>
    </row>
    <row r="1104" spans="1:10" x14ac:dyDescent="0.25">
      <c r="A1104" t="str">
        <f>"07/20/20"</f>
        <v>07/20/20</v>
      </c>
      <c r="B1104" t="s">
        <v>2132</v>
      </c>
      <c r="C1104" t="str">
        <f>"ON A5"</f>
        <v>ON A5</v>
      </c>
      <c r="D1104" t="str">
        <f>"2110 "</f>
        <v xml:space="preserve">2110 </v>
      </c>
      <c r="E1104" t="str">
        <f>"019 "</f>
        <v xml:space="preserve">019 </v>
      </c>
      <c r="F1104" t="s">
        <v>834</v>
      </c>
      <c r="G1104" s="1">
        <v>7000</v>
      </c>
      <c r="H1104" t="s">
        <v>33</v>
      </c>
      <c r="I1104" t="s">
        <v>15</v>
      </c>
      <c r="J1104" s="1">
        <v>3065.34</v>
      </c>
    </row>
    <row r="1105" spans="1:10" x14ac:dyDescent="0.25">
      <c r="A1105" t="str">
        <f>"07/20/20"</f>
        <v>07/20/20</v>
      </c>
      <c r="B1105" t="s">
        <v>2133</v>
      </c>
      <c r="C1105" t="str">
        <f>"ERHO9"</f>
        <v>ERHO9</v>
      </c>
      <c r="D1105" t="str">
        <f>"4177 "</f>
        <v xml:space="preserve">4177 </v>
      </c>
      <c r="E1105" t="str">
        <f>"024 "</f>
        <v xml:space="preserve">024 </v>
      </c>
      <c r="F1105" t="s">
        <v>2134</v>
      </c>
      <c r="G1105" s="1">
        <v>1000</v>
      </c>
      <c r="H1105" t="s">
        <v>161</v>
      </c>
      <c r="I1105" t="s">
        <v>15</v>
      </c>
      <c r="J1105" s="1">
        <v>772.49</v>
      </c>
    </row>
    <row r="1106" spans="1:10" x14ac:dyDescent="0.25">
      <c r="A1106" t="str">
        <f>"07/20/20"</f>
        <v>07/20/20</v>
      </c>
      <c r="B1106" t="s">
        <v>2135</v>
      </c>
      <c r="C1106" t="str">
        <f>"    0"</f>
        <v xml:space="preserve">    0</v>
      </c>
      <c r="D1106" t="str">
        <f>"4177 "</f>
        <v xml:space="preserve">4177 </v>
      </c>
      <c r="E1106" t="str">
        <f>"019 "</f>
        <v xml:space="preserve">019 </v>
      </c>
      <c r="F1106" t="s">
        <v>2134</v>
      </c>
      <c r="G1106" s="1">
        <v>1000</v>
      </c>
      <c r="H1106" t="s">
        <v>161</v>
      </c>
      <c r="I1106" t="s">
        <v>15</v>
      </c>
      <c r="J1106" s="1">
        <v>772.49</v>
      </c>
    </row>
    <row r="1107" spans="1:10" x14ac:dyDescent="0.25">
      <c r="A1107" t="str">
        <f>"07/20/20"</f>
        <v>07/20/20</v>
      </c>
      <c r="B1107" t="s">
        <v>2136</v>
      </c>
      <c r="C1107" t="str">
        <f>"ST  0"</f>
        <v>ST  0</v>
      </c>
      <c r="D1107" t="str">
        <f>"8434F"</f>
        <v>8434F</v>
      </c>
      <c r="E1107" t="str">
        <f>"019 "</f>
        <v xml:space="preserve">019 </v>
      </c>
      <c r="F1107" t="s">
        <v>2137</v>
      </c>
      <c r="G1107" s="1">
        <v>18100</v>
      </c>
      <c r="H1107" t="s">
        <v>74</v>
      </c>
      <c r="I1107" t="s">
        <v>15</v>
      </c>
      <c r="J1107" s="1">
        <v>562.05999999999995</v>
      </c>
    </row>
    <row r="1108" spans="1:10" x14ac:dyDescent="0.25">
      <c r="A1108" t="str">
        <f>"07/20/20"</f>
        <v>07/20/20</v>
      </c>
      <c r="B1108" t="s">
        <v>2138</v>
      </c>
      <c r="C1108" t="str">
        <f>"EST 1"</f>
        <v>EST 1</v>
      </c>
      <c r="D1108" t="str">
        <f>"8424B"</f>
        <v>8424B</v>
      </c>
      <c r="E1108" t="str">
        <f>"015 "</f>
        <v xml:space="preserve">015 </v>
      </c>
      <c r="F1108" t="s">
        <v>2139</v>
      </c>
      <c r="G1108" s="1">
        <v>11700</v>
      </c>
      <c r="H1108" t="s">
        <v>74</v>
      </c>
      <c r="I1108" t="s">
        <v>15</v>
      </c>
      <c r="J1108" s="1">
        <v>381.52</v>
      </c>
    </row>
    <row r="1109" spans="1:10" x14ac:dyDescent="0.25">
      <c r="A1109" t="str">
        <f>"07/20/20"</f>
        <v>07/20/20</v>
      </c>
      <c r="B1109" t="s">
        <v>2140</v>
      </c>
      <c r="C1109" t="str">
        <f>"D AV0"</f>
        <v>D AV0</v>
      </c>
      <c r="D1109" t="str">
        <f>"4149B"</f>
        <v>4149B</v>
      </c>
      <c r="E1109" t="str">
        <f>"089 "</f>
        <v xml:space="preserve">089 </v>
      </c>
      <c r="F1109" t="s">
        <v>2141</v>
      </c>
      <c r="G1109" s="1">
        <v>1300</v>
      </c>
      <c r="H1109" t="s">
        <v>137</v>
      </c>
      <c r="I1109" t="s">
        <v>15</v>
      </c>
      <c r="J1109" s="1">
        <v>1269.9000000000001</v>
      </c>
    </row>
    <row r="1110" spans="1:10" x14ac:dyDescent="0.25">
      <c r="A1110" t="str">
        <f>"07/20/20"</f>
        <v>07/20/20</v>
      </c>
      <c r="B1110" t="s">
        <v>2142</v>
      </c>
      <c r="C1110" t="str">
        <f>"LA R5"</f>
        <v>LA R5</v>
      </c>
      <c r="D1110" t="str">
        <f>"2230G"</f>
        <v>2230G</v>
      </c>
      <c r="E1110" t="str">
        <f>"066 "</f>
        <v xml:space="preserve">066 </v>
      </c>
      <c r="F1110" t="s">
        <v>2143</v>
      </c>
      <c r="G1110" s="1">
        <v>7400</v>
      </c>
      <c r="H1110" t="s">
        <v>30</v>
      </c>
      <c r="I1110" t="s">
        <v>15</v>
      </c>
      <c r="J1110" s="1">
        <v>1903.49</v>
      </c>
    </row>
    <row r="1111" spans="1:10" x14ac:dyDescent="0.25">
      <c r="A1111" t="str">
        <f>"07/20/20"</f>
        <v>07/20/20</v>
      </c>
      <c r="B1111" t="s">
        <v>2144</v>
      </c>
      <c r="C1111" t="str">
        <f>"SH A5"</f>
        <v>SH A5</v>
      </c>
      <c r="D1111" t="str">
        <f>"3112 "</f>
        <v xml:space="preserve">3112 </v>
      </c>
      <c r="E1111" t="str">
        <f>"088 "</f>
        <v xml:space="preserve">088 </v>
      </c>
      <c r="F1111" t="s">
        <v>599</v>
      </c>
      <c r="G1111" s="1">
        <v>1800</v>
      </c>
      <c r="H1111" t="s">
        <v>14</v>
      </c>
      <c r="I1111" t="s">
        <v>15</v>
      </c>
      <c r="J1111" s="1">
        <v>12577.21</v>
      </c>
    </row>
    <row r="1112" spans="1:10" x14ac:dyDescent="0.25">
      <c r="A1112" t="str">
        <f>"07/20/20"</f>
        <v>07/20/20</v>
      </c>
      <c r="B1112" t="s">
        <v>2144</v>
      </c>
      <c r="C1112" t="str">
        <f>"SH A5"</f>
        <v>SH A5</v>
      </c>
      <c r="D1112" t="str">
        <f>"3112 "</f>
        <v xml:space="preserve">3112 </v>
      </c>
      <c r="E1112" t="str">
        <f>"076 "</f>
        <v xml:space="preserve">076 </v>
      </c>
      <c r="F1112" t="s">
        <v>2145</v>
      </c>
      <c r="G1112" s="1">
        <v>1800</v>
      </c>
      <c r="H1112" t="s">
        <v>14</v>
      </c>
      <c r="I1112" t="s">
        <v>15</v>
      </c>
      <c r="J1112" s="1">
        <v>559.92999999999995</v>
      </c>
    </row>
    <row r="1113" spans="1:10" x14ac:dyDescent="0.25">
      <c r="A1113" t="str">
        <f>"07/20/20"</f>
        <v>07/20/20</v>
      </c>
      <c r="B1113" t="s">
        <v>2146</v>
      </c>
      <c r="C1113" t="str">
        <f>"WN A5"</f>
        <v>WN A5</v>
      </c>
      <c r="D1113" t="str">
        <f>"4149K"</f>
        <v>4149K</v>
      </c>
      <c r="E1113" t="str">
        <f>"064 "</f>
        <v xml:space="preserve">064 </v>
      </c>
      <c r="F1113" t="s">
        <v>2147</v>
      </c>
      <c r="G1113" s="1">
        <v>3900</v>
      </c>
      <c r="H1113" t="s">
        <v>30</v>
      </c>
      <c r="I1113" t="s">
        <v>15</v>
      </c>
      <c r="J1113" s="1">
        <v>19176.05</v>
      </c>
    </row>
    <row r="1114" spans="1:10" x14ac:dyDescent="0.25">
      <c r="A1114" t="str">
        <f>"07/20/20"</f>
        <v>07/20/20</v>
      </c>
      <c r="B1114" t="s">
        <v>2148</v>
      </c>
      <c r="C1114" t="str">
        <f>"MORE0"</f>
        <v>MORE0</v>
      </c>
      <c r="D1114" t="str">
        <f>"5625 "</f>
        <v xml:space="preserve">5625 </v>
      </c>
      <c r="E1114" t="str">
        <f>"011 "</f>
        <v xml:space="preserve">011 </v>
      </c>
      <c r="F1114" t="s">
        <v>2149</v>
      </c>
      <c r="G1114" s="1">
        <v>13200</v>
      </c>
      <c r="H1114" t="s">
        <v>137</v>
      </c>
      <c r="I1114" t="s">
        <v>15</v>
      </c>
      <c r="J1114" s="1">
        <v>423.82</v>
      </c>
    </row>
    <row r="1115" spans="1:10" x14ac:dyDescent="0.25">
      <c r="A1115" t="str">
        <f>"07/20/20"</f>
        <v>07/20/20</v>
      </c>
      <c r="B1115" t="s">
        <v>2150</v>
      </c>
      <c r="C1115" t="str">
        <f>" REA9"</f>
        <v xml:space="preserve"> REA9</v>
      </c>
      <c r="D1115" t="str">
        <f>"1099B"</f>
        <v>1099B</v>
      </c>
      <c r="E1115" t="str">
        <f>"129 "</f>
        <v xml:space="preserve">129 </v>
      </c>
      <c r="F1115" t="s">
        <v>2151</v>
      </c>
      <c r="G1115" s="1">
        <v>1000</v>
      </c>
      <c r="H1115" t="s">
        <v>33</v>
      </c>
      <c r="I1115" t="s">
        <v>15</v>
      </c>
      <c r="J1115" s="1">
        <v>8192.67</v>
      </c>
    </row>
    <row r="1116" spans="1:10" x14ac:dyDescent="0.25">
      <c r="A1116" t="str">
        <f>"07/20/20"</f>
        <v>07/20/20</v>
      </c>
      <c r="B1116" t="s">
        <v>2152</v>
      </c>
      <c r="C1116" t="str">
        <f>"DHAV5"</f>
        <v>DHAV5</v>
      </c>
      <c r="D1116" t="str">
        <f>"2849 "</f>
        <v xml:space="preserve">2849 </v>
      </c>
      <c r="E1116" t="str">
        <f>"110 "</f>
        <v xml:space="preserve">110 </v>
      </c>
      <c r="F1116" t="s">
        <v>2153</v>
      </c>
      <c r="G1116" s="1">
        <v>1000</v>
      </c>
      <c r="H1116" t="s">
        <v>137</v>
      </c>
      <c r="I1116" t="s">
        <v>15</v>
      </c>
      <c r="J1116" s="1">
        <v>653.19000000000005</v>
      </c>
    </row>
    <row r="1117" spans="1:10" x14ac:dyDescent="0.25">
      <c r="A1117" t="str">
        <f>"07/20/20"</f>
        <v>07/20/20</v>
      </c>
      <c r="B1117" t="s">
        <v>2154</v>
      </c>
      <c r="C1117" t="str">
        <f>"21230"</f>
        <v>21230</v>
      </c>
      <c r="D1117" t="str">
        <f>"7801 "</f>
        <v xml:space="preserve">7801 </v>
      </c>
      <c r="E1117" t="str">
        <f>"038 "</f>
        <v xml:space="preserve">038 </v>
      </c>
      <c r="F1117" t="s">
        <v>2155</v>
      </c>
      <c r="G1117" s="1">
        <v>15200</v>
      </c>
      <c r="H1117" t="s">
        <v>14</v>
      </c>
      <c r="I1117" t="s">
        <v>15</v>
      </c>
      <c r="J1117" s="1">
        <v>101863.24</v>
      </c>
    </row>
    <row r="1118" spans="1:10" x14ac:dyDescent="0.25">
      <c r="A1118" t="str">
        <f>"07/20/20"</f>
        <v>07/20/20</v>
      </c>
      <c r="B1118" t="s">
        <v>2156</v>
      </c>
      <c r="C1118" t="str">
        <f>"21213"</f>
        <v>21213</v>
      </c>
      <c r="D1118" t="str">
        <f>"6195 "</f>
        <v xml:space="preserve">6195 </v>
      </c>
      <c r="E1118" t="str">
        <f>"007 "</f>
        <v xml:space="preserve">007 </v>
      </c>
      <c r="F1118" t="s">
        <v>2157</v>
      </c>
      <c r="G1118" s="1">
        <v>1733800</v>
      </c>
      <c r="H1118" t="s">
        <v>1035</v>
      </c>
      <c r="I1118" t="s">
        <v>15</v>
      </c>
      <c r="J1118" s="1">
        <v>47095.45</v>
      </c>
    </row>
    <row r="1119" spans="1:10" x14ac:dyDescent="0.25">
      <c r="A1119" t="str">
        <f>"07/20/20"</f>
        <v>07/20/20</v>
      </c>
      <c r="B1119" t="s">
        <v>2158</v>
      </c>
      <c r="C1119" t="str">
        <f>"21212"</f>
        <v>21212</v>
      </c>
      <c r="D1119" t="str">
        <f>"5158 "</f>
        <v xml:space="preserve">5158 </v>
      </c>
      <c r="E1119" t="str">
        <f>"062 "</f>
        <v xml:space="preserve">062 </v>
      </c>
      <c r="F1119" t="s">
        <v>2159</v>
      </c>
      <c r="G1119" s="1">
        <v>72200</v>
      </c>
      <c r="H1119" t="s">
        <v>30</v>
      </c>
      <c r="I1119" t="s">
        <v>15</v>
      </c>
      <c r="J1119" s="1">
        <v>80235.3</v>
      </c>
    </row>
    <row r="1120" spans="1:10" x14ac:dyDescent="0.25">
      <c r="A1120" t="str">
        <f>"07/20/20"</f>
        <v>07/20/20</v>
      </c>
      <c r="B1120" t="s">
        <v>2160</v>
      </c>
      <c r="C1120" t="str">
        <f>"21213"</f>
        <v>21213</v>
      </c>
      <c r="D1120" t="str">
        <f>"4199 "</f>
        <v xml:space="preserve">4199 </v>
      </c>
      <c r="E1120" t="str">
        <f>"003 "</f>
        <v xml:space="preserve">003 </v>
      </c>
      <c r="F1120" t="s">
        <v>2161</v>
      </c>
      <c r="G1120" s="1">
        <v>62800</v>
      </c>
      <c r="H1120" t="s">
        <v>2162</v>
      </c>
      <c r="I1120" t="s">
        <v>34</v>
      </c>
      <c r="J1120" s="1">
        <v>5739.47</v>
      </c>
    </row>
    <row r="1121" spans="1:10" x14ac:dyDescent="0.25">
      <c r="A1121" t="str">
        <f>"07/20/20"</f>
        <v>07/20/20</v>
      </c>
      <c r="B1121" t="s">
        <v>2163</v>
      </c>
      <c r="C1121" t="str">
        <f>"21213"</f>
        <v>21213</v>
      </c>
      <c r="D1121" t="str">
        <f>"4169 "</f>
        <v xml:space="preserve">4169 </v>
      </c>
      <c r="E1121" t="str">
        <f>"001 "</f>
        <v xml:space="preserve">001 </v>
      </c>
      <c r="F1121" t="s">
        <v>2164</v>
      </c>
      <c r="G1121" s="1">
        <v>1000</v>
      </c>
      <c r="H1121" t="s">
        <v>33</v>
      </c>
      <c r="I1121" t="s">
        <v>15</v>
      </c>
      <c r="J1121" s="1">
        <v>449191.53</v>
      </c>
    </row>
    <row r="1122" spans="1:10" x14ac:dyDescent="0.25">
      <c r="A1122" t="str">
        <f>"07/20/20"</f>
        <v>07/20/20</v>
      </c>
      <c r="B1122" t="s">
        <v>2165</v>
      </c>
      <c r="C1122" t="str">
        <f>"21216"</f>
        <v>21216</v>
      </c>
      <c r="D1122" t="str">
        <f>"3261A"</f>
        <v>3261A</v>
      </c>
      <c r="E1122" t="str">
        <f>"021 "</f>
        <v xml:space="preserve">021 </v>
      </c>
      <c r="F1122" t="s">
        <v>2166</v>
      </c>
      <c r="G1122" s="1">
        <v>7000</v>
      </c>
      <c r="H1122" t="s">
        <v>30</v>
      </c>
      <c r="I1122" t="s">
        <v>34</v>
      </c>
      <c r="J1122" s="1">
        <v>17484.53</v>
      </c>
    </row>
    <row r="1123" spans="1:10" x14ac:dyDescent="0.25">
      <c r="A1123" t="str">
        <f>"07/20/20"</f>
        <v>07/20/20</v>
      </c>
      <c r="B1123" t="s">
        <v>2167</v>
      </c>
      <c r="C1123" t="str">
        <f>"21216"</f>
        <v>21216</v>
      </c>
      <c r="D1123" t="str">
        <f>"3261A"</f>
        <v>3261A</v>
      </c>
      <c r="E1123" t="str">
        <f>"012 "</f>
        <v xml:space="preserve">012 </v>
      </c>
      <c r="F1123" t="s">
        <v>2168</v>
      </c>
      <c r="G1123" s="1">
        <v>40000</v>
      </c>
      <c r="H1123" t="s">
        <v>30</v>
      </c>
      <c r="I1123" t="s">
        <v>34</v>
      </c>
      <c r="J1123" s="1">
        <v>67784.14</v>
      </c>
    </row>
    <row r="1124" spans="1:10" x14ac:dyDescent="0.25">
      <c r="A1124" t="str">
        <f>"07/20/20"</f>
        <v>07/20/20</v>
      </c>
      <c r="B1124" t="s">
        <v>2169</v>
      </c>
      <c r="C1124" t="str">
        <f>"21216"</f>
        <v>21216</v>
      </c>
      <c r="D1124" t="str">
        <f>"3261A"</f>
        <v>3261A</v>
      </c>
      <c r="E1124" t="str">
        <f>"011 "</f>
        <v xml:space="preserve">011 </v>
      </c>
      <c r="F1124" t="s">
        <v>2170</v>
      </c>
      <c r="G1124" s="1">
        <v>15000</v>
      </c>
      <c r="H1124" t="s">
        <v>30</v>
      </c>
      <c r="I1124" t="s">
        <v>34</v>
      </c>
      <c r="J1124" s="1">
        <v>20569.5</v>
      </c>
    </row>
    <row r="1125" spans="1:10" x14ac:dyDescent="0.25">
      <c r="A1125" t="str">
        <f>"07/20/20"</f>
        <v>07/20/20</v>
      </c>
      <c r="B1125" t="s">
        <v>2171</v>
      </c>
      <c r="C1125" t="str">
        <f>"21223"</f>
        <v>21223</v>
      </c>
      <c r="D1125" t="str">
        <f>"0702 "</f>
        <v xml:space="preserve">0702 </v>
      </c>
      <c r="E1125" t="str">
        <f>"026 "</f>
        <v xml:space="preserve">026 </v>
      </c>
      <c r="F1125" t="s">
        <v>1143</v>
      </c>
      <c r="G1125" s="1">
        <v>6000</v>
      </c>
      <c r="H1125" t="s">
        <v>33</v>
      </c>
      <c r="I1125" t="s">
        <v>34</v>
      </c>
      <c r="J1125" s="1">
        <v>37077.99</v>
      </c>
    </row>
    <row r="1126" spans="1:10" x14ac:dyDescent="0.25">
      <c r="A1126" t="str">
        <f>"07/20/20"</f>
        <v>07/20/20</v>
      </c>
      <c r="B1126" t="s">
        <v>2172</v>
      </c>
      <c r="C1126" t="str">
        <f>"21223"</f>
        <v>21223</v>
      </c>
      <c r="D1126" t="str">
        <f>"0701 "</f>
        <v xml:space="preserve">0701 </v>
      </c>
      <c r="E1126" t="str">
        <f>"006 "</f>
        <v xml:space="preserve">006 </v>
      </c>
      <c r="F1126" t="s">
        <v>2173</v>
      </c>
      <c r="G1126" s="1">
        <v>6000</v>
      </c>
      <c r="H1126" t="s">
        <v>33</v>
      </c>
      <c r="I1126" t="s">
        <v>34</v>
      </c>
      <c r="J1126" s="1">
        <v>62548.4</v>
      </c>
    </row>
    <row r="1127" spans="1:10" x14ac:dyDescent="0.25">
      <c r="A1127" t="str">
        <f>"07/20/20"</f>
        <v>07/20/20</v>
      </c>
      <c r="B1127" t="s">
        <v>2174</v>
      </c>
      <c r="C1127" t="str">
        <f>"21223"</f>
        <v>21223</v>
      </c>
      <c r="D1127" t="str">
        <f>"0702 "</f>
        <v xml:space="preserve">0702 </v>
      </c>
      <c r="E1127" t="str">
        <f>"030 "</f>
        <v xml:space="preserve">030 </v>
      </c>
      <c r="F1127" t="s">
        <v>2175</v>
      </c>
      <c r="G1127" s="1">
        <v>15900</v>
      </c>
      <c r="H1127" t="s">
        <v>33</v>
      </c>
      <c r="I1127" t="s">
        <v>15</v>
      </c>
      <c r="J1127" s="1">
        <v>6108.7</v>
      </c>
    </row>
    <row r="1128" spans="1:10" x14ac:dyDescent="0.25">
      <c r="A1128" t="str">
        <f>"07/20/20"</f>
        <v>07/20/20</v>
      </c>
      <c r="B1128" t="s">
        <v>2176</v>
      </c>
      <c r="C1128" t="str">
        <f>"21223"</f>
        <v>21223</v>
      </c>
      <c r="D1128" t="str">
        <f>"0174 "</f>
        <v xml:space="preserve">0174 </v>
      </c>
      <c r="E1128" t="str">
        <f>"063 "</f>
        <v xml:space="preserve">063 </v>
      </c>
      <c r="F1128" t="s">
        <v>2177</v>
      </c>
      <c r="G1128" s="1">
        <v>3000</v>
      </c>
      <c r="H1128" t="s">
        <v>33</v>
      </c>
      <c r="I1128" t="s">
        <v>34</v>
      </c>
      <c r="J1128" s="1">
        <v>816.63</v>
      </c>
    </row>
    <row r="1129" spans="1:10" x14ac:dyDescent="0.25">
      <c r="A1129" t="str">
        <f>"07/20/20"</f>
        <v>07/20/20</v>
      </c>
      <c r="B1129" t="s">
        <v>2178</v>
      </c>
      <c r="C1129" t="str">
        <f>"21223"</f>
        <v>21223</v>
      </c>
      <c r="D1129" t="str">
        <f>"0289 "</f>
        <v xml:space="preserve">0289 </v>
      </c>
      <c r="E1129" t="str">
        <f>"033 "</f>
        <v xml:space="preserve">033 </v>
      </c>
      <c r="F1129" t="s">
        <v>2179</v>
      </c>
      <c r="G1129" s="1">
        <v>6000</v>
      </c>
      <c r="H1129" t="s">
        <v>33</v>
      </c>
      <c r="I1129" t="s">
        <v>34</v>
      </c>
      <c r="J1129" s="1">
        <v>10270.98</v>
      </c>
    </row>
    <row r="1130" spans="1:10" x14ac:dyDescent="0.25">
      <c r="A1130" t="str">
        <f>"07/20/20"</f>
        <v>07/20/20</v>
      </c>
      <c r="B1130" t="s">
        <v>2180</v>
      </c>
      <c r="C1130" t="str">
        <f>"21223"</f>
        <v>21223</v>
      </c>
      <c r="D1130" t="str">
        <f>"0289 "</f>
        <v xml:space="preserve">0289 </v>
      </c>
      <c r="E1130" t="str">
        <f>"032 "</f>
        <v xml:space="preserve">032 </v>
      </c>
      <c r="F1130" t="s">
        <v>2181</v>
      </c>
      <c r="G1130" s="1">
        <v>6000</v>
      </c>
      <c r="H1130" t="s">
        <v>33</v>
      </c>
      <c r="I1130" t="s">
        <v>34</v>
      </c>
      <c r="J1130" s="1">
        <v>15757.53</v>
      </c>
    </row>
    <row r="1131" spans="1:10" x14ac:dyDescent="0.25">
      <c r="A1131" t="str">
        <f>"07/20/20"</f>
        <v>07/20/20</v>
      </c>
      <c r="B1131" t="s">
        <v>2182</v>
      </c>
      <c r="C1131" t="str">
        <f>"21223"</f>
        <v>21223</v>
      </c>
      <c r="D1131" t="str">
        <f>"0289 "</f>
        <v xml:space="preserve">0289 </v>
      </c>
      <c r="E1131" t="str">
        <f>"027 "</f>
        <v xml:space="preserve">027 </v>
      </c>
      <c r="F1131" t="s">
        <v>1917</v>
      </c>
      <c r="G1131" s="1">
        <v>6000</v>
      </c>
      <c r="H1131" t="s">
        <v>33</v>
      </c>
      <c r="I1131" t="s">
        <v>34</v>
      </c>
      <c r="J1131" s="1">
        <v>4830</v>
      </c>
    </row>
    <row r="1132" spans="1:10" x14ac:dyDescent="0.25">
      <c r="A1132" t="str">
        <f>"07/20/20"</f>
        <v>07/20/20</v>
      </c>
      <c r="B1132" t="s">
        <v>2183</v>
      </c>
      <c r="C1132" t="str">
        <f>"21223"</f>
        <v>21223</v>
      </c>
      <c r="D1132" t="str">
        <f>"0696 "</f>
        <v xml:space="preserve">0696 </v>
      </c>
      <c r="E1132" t="str">
        <f>"016 "</f>
        <v xml:space="preserve">016 </v>
      </c>
      <c r="F1132" t="s">
        <v>2184</v>
      </c>
      <c r="G1132" s="1">
        <v>15000</v>
      </c>
      <c r="H1132" t="s">
        <v>33</v>
      </c>
      <c r="I1132" t="s">
        <v>15</v>
      </c>
      <c r="J1132" s="1">
        <v>1313.56</v>
      </c>
    </row>
    <row r="1133" spans="1:10" x14ac:dyDescent="0.25">
      <c r="A1133" t="str">
        <f>"07/20/20"</f>
        <v>07/20/20</v>
      </c>
      <c r="B1133" t="s">
        <v>2185</v>
      </c>
      <c r="C1133" t="str">
        <f>"21223"</f>
        <v>21223</v>
      </c>
      <c r="D1133" t="str">
        <f>"0696 "</f>
        <v xml:space="preserve">0696 </v>
      </c>
      <c r="E1133" t="str">
        <f>"012 "</f>
        <v xml:space="preserve">012 </v>
      </c>
      <c r="F1133" t="s">
        <v>2186</v>
      </c>
      <c r="G1133" s="1">
        <v>15000</v>
      </c>
      <c r="H1133" t="s">
        <v>33</v>
      </c>
      <c r="I1133" t="s">
        <v>15</v>
      </c>
      <c r="J1133" s="1">
        <v>7437.9</v>
      </c>
    </row>
    <row r="1134" spans="1:10" x14ac:dyDescent="0.25">
      <c r="A1134" t="str">
        <f>"07/20/20"</f>
        <v>07/20/20</v>
      </c>
      <c r="B1134" t="s">
        <v>2187</v>
      </c>
      <c r="C1134" t="str">
        <f>"21223"</f>
        <v>21223</v>
      </c>
      <c r="D1134" t="str">
        <f>"0696 "</f>
        <v xml:space="preserve">0696 </v>
      </c>
      <c r="E1134" t="str">
        <f>"002 "</f>
        <v xml:space="preserve">002 </v>
      </c>
      <c r="F1134" t="s">
        <v>2188</v>
      </c>
      <c r="G1134" s="1">
        <v>15000</v>
      </c>
      <c r="H1134" t="s">
        <v>33</v>
      </c>
      <c r="I1134" t="s">
        <v>34</v>
      </c>
      <c r="J1134" s="1">
        <v>9835.7099999999991</v>
      </c>
    </row>
    <row r="1135" spans="1:10" x14ac:dyDescent="0.25">
      <c r="A1135" t="str">
        <f>"07/20/20"</f>
        <v>07/20/20</v>
      </c>
      <c r="B1135" t="s">
        <v>2189</v>
      </c>
      <c r="C1135" t="str">
        <f>"21223"</f>
        <v>21223</v>
      </c>
      <c r="D1135" t="str">
        <f>"0205 "</f>
        <v xml:space="preserve">0205 </v>
      </c>
      <c r="E1135" t="str">
        <f>"024 "</f>
        <v xml:space="preserve">024 </v>
      </c>
      <c r="F1135" t="s">
        <v>2190</v>
      </c>
      <c r="G1135" s="1">
        <v>1000</v>
      </c>
      <c r="H1135" t="s">
        <v>33</v>
      </c>
      <c r="I1135" t="s">
        <v>15</v>
      </c>
      <c r="J1135" s="1">
        <v>635.12</v>
      </c>
    </row>
    <row r="1136" spans="1:10" x14ac:dyDescent="0.25">
      <c r="A1136" t="str">
        <f>"07/20/20"</f>
        <v>07/20/20</v>
      </c>
      <c r="B1136" t="s">
        <v>2191</v>
      </c>
      <c r="C1136" t="str">
        <f>"21223"</f>
        <v>21223</v>
      </c>
      <c r="D1136" t="str">
        <f>"0288 "</f>
        <v xml:space="preserve">0288 </v>
      </c>
      <c r="E1136" t="str">
        <f>"015 "</f>
        <v xml:space="preserve">015 </v>
      </c>
      <c r="F1136" t="s">
        <v>2192</v>
      </c>
      <c r="G1136" s="1">
        <v>6000</v>
      </c>
      <c r="H1136" t="s">
        <v>33</v>
      </c>
      <c r="I1136" t="s">
        <v>34</v>
      </c>
      <c r="J1136" s="1">
        <v>19085.29</v>
      </c>
    </row>
    <row r="1137" spans="1:10" x14ac:dyDescent="0.25">
      <c r="A1137" t="str">
        <f>"07/20/20"</f>
        <v>07/20/20</v>
      </c>
      <c r="B1137" t="s">
        <v>2193</v>
      </c>
      <c r="C1137" t="str">
        <f>"21213"</f>
        <v>21213</v>
      </c>
      <c r="D1137" t="str">
        <f>"1116 "</f>
        <v xml:space="preserve">1116 </v>
      </c>
      <c r="E1137" t="str">
        <f>"067 "</f>
        <v xml:space="preserve">067 </v>
      </c>
      <c r="F1137" t="s">
        <v>2194</v>
      </c>
      <c r="G1137" s="1">
        <v>46000</v>
      </c>
      <c r="H1137" t="s">
        <v>33</v>
      </c>
      <c r="I1137" t="s">
        <v>15</v>
      </c>
      <c r="J1137" s="1">
        <v>12897.91</v>
      </c>
    </row>
    <row r="1138" spans="1:10" x14ac:dyDescent="0.25">
      <c r="A1138" t="str">
        <f>"07/20/20"</f>
        <v>07/20/20</v>
      </c>
      <c r="B1138" t="s">
        <v>2195</v>
      </c>
      <c r="C1138" t="str">
        <f>"21231"</f>
        <v>21231</v>
      </c>
      <c r="D1138" t="str">
        <f>"1367 "</f>
        <v xml:space="preserve">1367 </v>
      </c>
      <c r="E1138" t="str">
        <f>"065 "</f>
        <v xml:space="preserve">065 </v>
      </c>
      <c r="F1138" t="s">
        <v>2196</v>
      </c>
      <c r="G1138" s="1">
        <v>6600</v>
      </c>
      <c r="H1138" t="s">
        <v>33</v>
      </c>
      <c r="I1138" t="s">
        <v>15</v>
      </c>
      <c r="J1138" s="1">
        <v>756.09</v>
      </c>
    </row>
    <row r="1139" spans="1:10" x14ac:dyDescent="0.25">
      <c r="A1139" t="str">
        <f>"07/20/20"</f>
        <v>07/20/20</v>
      </c>
      <c r="B1139" t="s">
        <v>2197</v>
      </c>
      <c r="C1139" t="str">
        <f>"00000"</f>
        <v>00000</v>
      </c>
      <c r="D1139" t="str">
        <f>"1367 "</f>
        <v xml:space="preserve">1367 </v>
      </c>
      <c r="E1139" t="str">
        <f>"062 "</f>
        <v xml:space="preserve">062 </v>
      </c>
      <c r="F1139" t="s">
        <v>2196</v>
      </c>
      <c r="G1139" s="1">
        <v>6300</v>
      </c>
      <c r="H1139" t="s">
        <v>33</v>
      </c>
      <c r="I1139" t="s">
        <v>15</v>
      </c>
      <c r="J1139" s="1">
        <v>638.86</v>
      </c>
    </row>
    <row r="1140" spans="1:10" x14ac:dyDescent="0.25">
      <c r="A1140" t="str">
        <f>"07/20/20"</f>
        <v>07/20/20</v>
      </c>
      <c r="B1140" t="s">
        <v>2198</v>
      </c>
      <c r="C1140" t="str">
        <f>"21231"</f>
        <v>21231</v>
      </c>
      <c r="D1140" t="str">
        <f>"1367 "</f>
        <v xml:space="preserve">1367 </v>
      </c>
      <c r="E1140" t="str">
        <f>"068 "</f>
        <v xml:space="preserve">068 </v>
      </c>
      <c r="F1140" t="s">
        <v>2196</v>
      </c>
      <c r="G1140" s="1">
        <v>7300</v>
      </c>
      <c r="H1140" t="s">
        <v>33</v>
      </c>
      <c r="I1140" t="s">
        <v>15</v>
      </c>
      <c r="J1140" s="1">
        <v>830.56</v>
      </c>
    </row>
    <row r="1141" spans="1:10" x14ac:dyDescent="0.25">
      <c r="A1141" t="str">
        <f>"07/20/20"</f>
        <v>07/20/20</v>
      </c>
      <c r="B1141" t="s">
        <v>2199</v>
      </c>
      <c r="C1141" t="str">
        <f>"00000"</f>
        <v>00000</v>
      </c>
      <c r="D1141" t="str">
        <f>"1367 "</f>
        <v xml:space="preserve">1367 </v>
      </c>
      <c r="E1141" t="str">
        <f>"060 "</f>
        <v xml:space="preserve">060 </v>
      </c>
      <c r="F1141" t="s">
        <v>2196</v>
      </c>
      <c r="G1141" s="1">
        <v>7700</v>
      </c>
      <c r="H1141" t="s">
        <v>33</v>
      </c>
      <c r="I1141" t="s">
        <v>15</v>
      </c>
      <c r="J1141" s="1">
        <v>769.94</v>
      </c>
    </row>
    <row r="1142" spans="1:10" x14ac:dyDescent="0.25">
      <c r="A1142" t="str">
        <f>"07/20/20"</f>
        <v>07/20/20</v>
      </c>
      <c r="B1142" t="s">
        <v>2200</v>
      </c>
      <c r="C1142" t="str">
        <f>"21231"</f>
        <v>21231</v>
      </c>
      <c r="D1142" t="str">
        <f>"1367 "</f>
        <v xml:space="preserve">1367 </v>
      </c>
      <c r="E1142" t="str">
        <f>"067 "</f>
        <v xml:space="preserve">067 </v>
      </c>
      <c r="F1142" t="s">
        <v>2196</v>
      </c>
      <c r="G1142" s="1">
        <v>7500</v>
      </c>
      <c r="H1142" t="s">
        <v>33</v>
      </c>
      <c r="I1142" t="s">
        <v>15</v>
      </c>
      <c r="J1142" s="1">
        <v>851.72</v>
      </c>
    </row>
    <row r="1143" spans="1:10" x14ac:dyDescent="0.25">
      <c r="A1143" t="str">
        <f>"07/20/20"</f>
        <v>07/20/20</v>
      </c>
      <c r="B1143" t="s">
        <v>2201</v>
      </c>
      <c r="C1143" t="str">
        <f>"21231"</f>
        <v>21231</v>
      </c>
      <c r="D1143" t="str">
        <f>"1342 "</f>
        <v xml:space="preserve">1342 </v>
      </c>
      <c r="E1143" t="str">
        <f>"074 "</f>
        <v xml:space="preserve">074 </v>
      </c>
      <c r="F1143" t="s">
        <v>709</v>
      </c>
      <c r="G1143" s="1">
        <v>0</v>
      </c>
      <c r="H1143" t="s">
        <v>33</v>
      </c>
      <c r="I1143" t="s">
        <v>15</v>
      </c>
      <c r="J1143" s="1">
        <v>333.89</v>
      </c>
    </row>
    <row r="1144" spans="1:10" x14ac:dyDescent="0.25">
      <c r="A1144" t="str">
        <f>"07/20/20"</f>
        <v>07/20/20</v>
      </c>
      <c r="B1144" t="s">
        <v>2202</v>
      </c>
      <c r="C1144" t="str">
        <f>"21231"</f>
        <v>21231</v>
      </c>
      <c r="D1144" t="str">
        <f>"1367 "</f>
        <v xml:space="preserve">1367 </v>
      </c>
      <c r="E1144" t="str">
        <f>"069 "</f>
        <v xml:space="preserve">069 </v>
      </c>
      <c r="F1144" t="s">
        <v>2196</v>
      </c>
      <c r="G1144" s="1">
        <v>7500</v>
      </c>
      <c r="H1144" t="s">
        <v>33</v>
      </c>
      <c r="I1144" t="s">
        <v>15</v>
      </c>
      <c r="J1144" s="1">
        <v>851.72</v>
      </c>
    </row>
    <row r="1145" spans="1:10" x14ac:dyDescent="0.25">
      <c r="A1145" t="str">
        <f>"07/20/20"</f>
        <v>07/20/20</v>
      </c>
      <c r="B1145" t="s">
        <v>2203</v>
      </c>
      <c r="C1145" t="str">
        <f>"21231"</f>
        <v>21231</v>
      </c>
      <c r="D1145" t="str">
        <f>"1367 "</f>
        <v xml:space="preserve">1367 </v>
      </c>
      <c r="E1145" t="str">
        <f>"066 "</f>
        <v xml:space="preserve">066 </v>
      </c>
      <c r="F1145" t="s">
        <v>2196</v>
      </c>
      <c r="G1145" s="1">
        <v>6900</v>
      </c>
      <c r="H1145" t="s">
        <v>33</v>
      </c>
      <c r="I1145" t="s">
        <v>15</v>
      </c>
      <c r="J1145" s="1">
        <v>788.31</v>
      </c>
    </row>
    <row r="1146" spans="1:10" x14ac:dyDescent="0.25">
      <c r="A1146" t="str">
        <f>"07/20/20"</f>
        <v>07/20/20</v>
      </c>
      <c r="B1146" t="s">
        <v>2204</v>
      </c>
      <c r="C1146" t="str">
        <f>"21212"</f>
        <v>21212</v>
      </c>
      <c r="D1146" t="str">
        <f>"5203A"</f>
        <v>5203A</v>
      </c>
      <c r="E1146" t="str">
        <f>"029 "</f>
        <v xml:space="preserve">029 </v>
      </c>
      <c r="F1146" t="s">
        <v>2205</v>
      </c>
      <c r="G1146" s="1">
        <v>11300</v>
      </c>
      <c r="H1146" t="s">
        <v>137</v>
      </c>
      <c r="I1146" t="s">
        <v>15</v>
      </c>
      <c r="J1146" s="1">
        <v>74563.259999999995</v>
      </c>
    </row>
    <row r="1147" spans="1:10" x14ac:dyDescent="0.25">
      <c r="A1147" t="str">
        <f>"07/20/20"</f>
        <v>07/20/20</v>
      </c>
      <c r="B1147" t="s">
        <v>2206</v>
      </c>
      <c r="C1147" t="str">
        <f>"21212"</f>
        <v>21212</v>
      </c>
      <c r="D1147" t="str">
        <f>"5205 "</f>
        <v xml:space="preserve">5205 </v>
      </c>
      <c r="E1147" t="str">
        <f>"012 "</f>
        <v xml:space="preserve">012 </v>
      </c>
      <c r="F1147" t="s">
        <v>2207</v>
      </c>
      <c r="G1147" s="1">
        <v>92700</v>
      </c>
      <c r="H1147" t="s">
        <v>91</v>
      </c>
      <c r="I1147" t="s">
        <v>15</v>
      </c>
      <c r="J1147" s="1">
        <v>103874.62</v>
      </c>
    </row>
    <row r="1148" spans="1:10" x14ac:dyDescent="0.25">
      <c r="A1148" t="str">
        <f>"07/20/20"</f>
        <v>07/20/20</v>
      </c>
      <c r="B1148" t="s">
        <v>2208</v>
      </c>
      <c r="C1148" t="str">
        <f>"21215"</f>
        <v>21215</v>
      </c>
      <c r="D1148" t="str">
        <f>"3165 "</f>
        <v xml:space="preserve">3165 </v>
      </c>
      <c r="E1148" t="str">
        <f>"023 "</f>
        <v xml:space="preserve">023 </v>
      </c>
      <c r="F1148" t="s">
        <v>2209</v>
      </c>
      <c r="G1148" s="1">
        <v>19000</v>
      </c>
      <c r="H1148" t="s">
        <v>14</v>
      </c>
      <c r="I1148" t="s">
        <v>15</v>
      </c>
      <c r="J1148" s="1">
        <v>46233.56</v>
      </c>
    </row>
    <row r="1149" spans="1:10" x14ac:dyDescent="0.25">
      <c r="A1149" t="str">
        <f>"07/20/20"</f>
        <v>07/20/20</v>
      </c>
      <c r="B1149" t="s">
        <v>2210</v>
      </c>
      <c r="C1149" t="str">
        <f>"21215"</f>
        <v>21215</v>
      </c>
      <c r="D1149" t="str">
        <f>"3165 "</f>
        <v xml:space="preserve">3165 </v>
      </c>
      <c r="E1149" t="str">
        <f>"024 "</f>
        <v xml:space="preserve">024 </v>
      </c>
      <c r="F1149" t="s">
        <v>2211</v>
      </c>
      <c r="G1149" s="1">
        <v>19000</v>
      </c>
      <c r="H1149" t="s">
        <v>14</v>
      </c>
      <c r="I1149" t="s">
        <v>15</v>
      </c>
      <c r="J1149" s="1">
        <v>34181.75</v>
      </c>
    </row>
    <row r="1150" spans="1:10" x14ac:dyDescent="0.25">
      <c r="A1150" t="str">
        <f>"07/20/20"</f>
        <v>07/20/20</v>
      </c>
      <c r="B1150" t="s">
        <v>2212</v>
      </c>
      <c r="C1150" t="str">
        <f>"N AV0"</f>
        <v>N AV0</v>
      </c>
      <c r="D1150" t="str">
        <f>"7200 "</f>
        <v xml:space="preserve">7200 </v>
      </c>
      <c r="E1150" t="str">
        <f>"093 "</f>
        <v xml:space="preserve">093 </v>
      </c>
      <c r="F1150" t="s">
        <v>2213</v>
      </c>
      <c r="G1150" s="1">
        <v>4000</v>
      </c>
      <c r="H1150" t="s">
        <v>91</v>
      </c>
      <c r="I1150" t="s">
        <v>15</v>
      </c>
      <c r="J1150" s="1">
        <v>2672.27</v>
      </c>
    </row>
    <row r="1151" spans="1:10" x14ac:dyDescent="0.25">
      <c r="A1151" t="str">
        <f>"07/20/20"</f>
        <v>07/20/20</v>
      </c>
      <c r="B1151" t="s">
        <v>2214</v>
      </c>
      <c r="C1151" t="str">
        <f>"    0"</f>
        <v xml:space="preserve">    0</v>
      </c>
      <c r="D1151" t="str">
        <f>"6629C"</f>
        <v>6629C</v>
      </c>
      <c r="E1151" t="str">
        <f>"041 "</f>
        <v xml:space="preserve">041 </v>
      </c>
      <c r="F1151" t="s">
        <v>2215</v>
      </c>
      <c r="G1151" s="1">
        <v>8400</v>
      </c>
      <c r="H1151" t="s">
        <v>30</v>
      </c>
      <c r="I1151" t="s">
        <v>15</v>
      </c>
      <c r="J1151" s="1">
        <v>591.25</v>
      </c>
    </row>
    <row r="1152" spans="1:10" x14ac:dyDescent="0.25">
      <c r="A1152" t="str">
        <f>"07/20/20"</f>
        <v>07/20/20</v>
      </c>
      <c r="B1152" t="s">
        <v>2216</v>
      </c>
      <c r="C1152" t="str">
        <f>"    0"</f>
        <v xml:space="preserve">    0</v>
      </c>
      <c r="D1152" t="str">
        <f>"6019D"</f>
        <v>6019D</v>
      </c>
      <c r="E1152" t="str">
        <f>"013A"</f>
        <v>013A</v>
      </c>
      <c r="F1152" t="s">
        <v>2217</v>
      </c>
      <c r="G1152" s="1">
        <v>10100</v>
      </c>
      <c r="H1152" t="s">
        <v>137</v>
      </c>
      <c r="I1152" t="s">
        <v>15</v>
      </c>
      <c r="J1152" s="1">
        <v>1919.1</v>
      </c>
    </row>
    <row r="1153" spans="1:10" x14ac:dyDescent="0.25">
      <c r="A1153" t="str">
        <f>"07/20/20"</f>
        <v>07/20/20</v>
      </c>
      <c r="B1153" t="s">
        <v>2218</v>
      </c>
      <c r="C1153" t="str">
        <f>"AV  0"</f>
        <v>AV  0</v>
      </c>
      <c r="D1153" t="str">
        <f>"5165 "</f>
        <v xml:space="preserve">5165 </v>
      </c>
      <c r="E1153" t="str">
        <f>"041 "</f>
        <v xml:space="preserve">041 </v>
      </c>
      <c r="F1153" t="s">
        <v>2219</v>
      </c>
      <c r="G1153" s="1">
        <v>11000</v>
      </c>
      <c r="H1153" t="s">
        <v>14</v>
      </c>
      <c r="I1153" t="s">
        <v>15</v>
      </c>
      <c r="J1153" s="1">
        <v>361.8</v>
      </c>
    </row>
    <row r="1154" spans="1:10" x14ac:dyDescent="0.25">
      <c r="A1154" t="str">
        <f>"07/20/20"</f>
        <v>07/20/20</v>
      </c>
      <c r="B1154" t="s">
        <v>2220</v>
      </c>
      <c r="C1154" t="str">
        <f>" ST.0"</f>
        <v xml:space="preserve"> ST.0</v>
      </c>
      <c r="D1154" t="str">
        <f>"1157 "</f>
        <v xml:space="preserve">1157 </v>
      </c>
      <c r="E1154" t="str">
        <f>"044A"</f>
        <v>044A</v>
      </c>
      <c r="F1154" t="s">
        <v>2221</v>
      </c>
      <c r="G1154" s="1">
        <v>1000</v>
      </c>
      <c r="H1154" t="s">
        <v>33</v>
      </c>
      <c r="I1154" t="s">
        <v>15</v>
      </c>
      <c r="J1154" s="1">
        <v>6469.7</v>
      </c>
    </row>
    <row r="1155" spans="1:10" x14ac:dyDescent="0.25">
      <c r="A1155" t="str">
        <f>"07/20/20"</f>
        <v>07/20/20</v>
      </c>
      <c r="B1155" t="s">
        <v>2222</v>
      </c>
      <c r="C1155" t="str">
        <f>"REAR0"</f>
        <v>REAR0</v>
      </c>
      <c r="D1155" t="str">
        <f>"0077 "</f>
        <v xml:space="preserve">0077 </v>
      </c>
      <c r="E1155" t="str">
        <f>"080 "</f>
        <v xml:space="preserve">080 </v>
      </c>
      <c r="F1155" t="s">
        <v>2223</v>
      </c>
      <c r="G1155" s="1">
        <v>1000</v>
      </c>
      <c r="H1155" t="s">
        <v>33</v>
      </c>
      <c r="I1155" t="s">
        <v>15</v>
      </c>
      <c r="J1155" s="1">
        <v>398.5</v>
      </c>
    </row>
    <row r="1156" spans="1:10" x14ac:dyDescent="0.25">
      <c r="A1156" t="str">
        <f>"07/20/20"</f>
        <v>07/20/20</v>
      </c>
      <c r="B1156" t="s">
        <v>2224</v>
      </c>
      <c r="C1156" t="str">
        <f>" SMA3"</f>
        <v xml:space="preserve"> SMA3</v>
      </c>
      <c r="D1156" t="str">
        <f>"2303 "</f>
        <v xml:space="preserve">2303 </v>
      </c>
      <c r="E1156" t="str">
        <f>"042 "</f>
        <v xml:space="preserve">042 </v>
      </c>
      <c r="F1156" t="s">
        <v>2225</v>
      </c>
      <c r="G1156" s="1">
        <v>2200</v>
      </c>
      <c r="H1156" t="s">
        <v>30</v>
      </c>
      <c r="I1156" t="s">
        <v>15</v>
      </c>
      <c r="J1156" s="1">
        <v>7439.96</v>
      </c>
    </row>
    <row r="1157" spans="1:10" x14ac:dyDescent="0.25">
      <c r="A1157" t="str">
        <f>"07/20/20"</f>
        <v>07/20/20</v>
      </c>
      <c r="B1157" t="s">
        <v>2226</v>
      </c>
      <c r="C1157" t="str">
        <f>" FT 5"</f>
        <v xml:space="preserve"> FT 5</v>
      </c>
      <c r="D1157" t="str">
        <f>"5212A"</f>
        <v>5212A</v>
      </c>
      <c r="E1157" t="str">
        <f>"053 "</f>
        <v xml:space="preserve">053 </v>
      </c>
      <c r="F1157" t="s">
        <v>2227</v>
      </c>
      <c r="G1157" s="1">
        <v>1600</v>
      </c>
      <c r="H1157" t="s">
        <v>14</v>
      </c>
      <c r="I1157" t="s">
        <v>15</v>
      </c>
      <c r="J1157" s="1">
        <v>374.56</v>
      </c>
    </row>
    <row r="1158" spans="1:10" x14ac:dyDescent="0.25">
      <c r="A1158" t="str">
        <f>"07/20/20"</f>
        <v>07/20/20</v>
      </c>
      <c r="B1158" t="s">
        <v>2228</v>
      </c>
      <c r="C1158" t="str">
        <f>" RD 0"</f>
        <v xml:space="preserve"> RD 0</v>
      </c>
      <c r="D1158" t="str">
        <f>"5267A"</f>
        <v>5267A</v>
      </c>
      <c r="E1158" t="str">
        <f>"091 "</f>
        <v xml:space="preserve">091 </v>
      </c>
      <c r="F1158" t="s">
        <v>2229</v>
      </c>
      <c r="G1158" s="1">
        <v>100</v>
      </c>
      <c r="H1158" t="s">
        <v>91</v>
      </c>
      <c r="I1158" t="s">
        <v>15</v>
      </c>
      <c r="J1158" s="1">
        <v>482.79</v>
      </c>
    </row>
    <row r="1159" spans="1:10" x14ac:dyDescent="0.25">
      <c r="A1159" t="str">
        <f>"07/20/20"</f>
        <v>07/20/20</v>
      </c>
      <c r="B1159" t="s">
        <v>2230</v>
      </c>
      <c r="C1159" t="str">
        <f>"SOR 1"</f>
        <v>SOR 1</v>
      </c>
      <c r="D1159" t="str">
        <f>"3034 "</f>
        <v xml:space="preserve">3034 </v>
      </c>
      <c r="E1159" t="str">
        <f>"029 "</f>
        <v xml:space="preserve">029 </v>
      </c>
      <c r="F1159" t="s">
        <v>2231</v>
      </c>
      <c r="G1159" s="1">
        <v>10900</v>
      </c>
      <c r="H1159" t="s">
        <v>14</v>
      </c>
      <c r="I1159" t="s">
        <v>15</v>
      </c>
      <c r="J1159" s="1">
        <v>19063.650000000001</v>
      </c>
    </row>
    <row r="1160" spans="1:10" x14ac:dyDescent="0.25">
      <c r="A1160" t="str">
        <f>"07/20/20"</f>
        <v>07/20/20</v>
      </c>
      <c r="B1160" t="s">
        <v>2232</v>
      </c>
      <c r="C1160" t="str">
        <f>"NDSO5"</f>
        <v>NDSO5</v>
      </c>
      <c r="D1160" t="str">
        <f>"2483 "</f>
        <v xml:space="preserve">2483 </v>
      </c>
      <c r="E1160" t="str">
        <f>"033 "</f>
        <v xml:space="preserve">033 </v>
      </c>
      <c r="F1160" t="s">
        <v>2233</v>
      </c>
      <c r="G1160" s="1">
        <v>1000</v>
      </c>
      <c r="H1160" t="s">
        <v>14</v>
      </c>
      <c r="I1160" t="s">
        <v>15</v>
      </c>
      <c r="J1160" s="1">
        <v>881.19</v>
      </c>
    </row>
    <row r="1161" spans="1:10" x14ac:dyDescent="0.25">
      <c r="A1161" t="str">
        <f>"07/20/20"</f>
        <v>07/20/20</v>
      </c>
      <c r="B1161" t="s">
        <v>2234</v>
      </c>
      <c r="C1161" t="str">
        <f>"R 241"</f>
        <v>R 241</v>
      </c>
      <c r="D1161" t="str">
        <f>"2358 "</f>
        <v xml:space="preserve">2358 </v>
      </c>
      <c r="E1161" t="str">
        <f>"051 "</f>
        <v xml:space="preserve">051 </v>
      </c>
      <c r="F1161" t="s">
        <v>2235</v>
      </c>
      <c r="G1161" s="1">
        <v>2100</v>
      </c>
      <c r="H1161" t="s">
        <v>14</v>
      </c>
      <c r="I1161" t="s">
        <v>15</v>
      </c>
      <c r="J1161" s="1">
        <v>578.88</v>
      </c>
    </row>
    <row r="1162" spans="1:10" x14ac:dyDescent="0.25">
      <c r="A1162" t="str">
        <f>"07/20/20"</f>
        <v>07/20/20</v>
      </c>
      <c r="B1162" t="s">
        <v>2236</v>
      </c>
      <c r="C1162" t="str">
        <f>"REAR0"</f>
        <v>REAR0</v>
      </c>
      <c r="D1162" t="str">
        <f>"3350D"</f>
        <v>3350D</v>
      </c>
      <c r="E1162" t="str">
        <f>"114 "</f>
        <v xml:space="preserve">114 </v>
      </c>
      <c r="F1162" t="s">
        <v>2237</v>
      </c>
      <c r="G1162" s="1">
        <v>500</v>
      </c>
      <c r="H1162" t="s">
        <v>14</v>
      </c>
      <c r="I1162" t="s">
        <v>15</v>
      </c>
      <c r="J1162" s="1">
        <v>604.64</v>
      </c>
    </row>
    <row r="1163" spans="1:10" x14ac:dyDescent="0.25">
      <c r="A1163" t="str">
        <f>"07/20/20"</f>
        <v>07/20/20</v>
      </c>
      <c r="B1163" t="s">
        <v>2238</v>
      </c>
      <c r="C1163" t="str">
        <f>"FALL2"</f>
        <v>FALL2</v>
      </c>
      <c r="D1163" t="str">
        <f>"3043 "</f>
        <v xml:space="preserve">3043 </v>
      </c>
      <c r="E1163" t="str">
        <f>"082 "</f>
        <v xml:space="preserve">082 </v>
      </c>
      <c r="F1163" t="s">
        <v>2239</v>
      </c>
      <c r="G1163" s="1">
        <v>2000</v>
      </c>
      <c r="H1163" t="s">
        <v>14</v>
      </c>
      <c r="I1163" t="s">
        <v>15</v>
      </c>
      <c r="J1163" s="1">
        <v>777.69</v>
      </c>
    </row>
    <row r="1164" spans="1:10" x14ac:dyDescent="0.25">
      <c r="A1164" t="str">
        <f>"07/20/20"</f>
        <v>07/20/20</v>
      </c>
      <c r="B1164" t="s">
        <v>2240</v>
      </c>
      <c r="C1164" t="str">
        <f>"PKWY0"</f>
        <v>PKWY0</v>
      </c>
      <c r="D1164" t="str">
        <f>"3041 "</f>
        <v xml:space="preserve">3041 </v>
      </c>
      <c r="E1164" t="str">
        <f>"034 "</f>
        <v xml:space="preserve">034 </v>
      </c>
      <c r="F1164" t="s">
        <v>2241</v>
      </c>
      <c r="G1164" s="1">
        <v>4500</v>
      </c>
      <c r="H1164" t="s">
        <v>14</v>
      </c>
      <c r="I1164" t="s">
        <v>15</v>
      </c>
      <c r="J1164" s="1">
        <v>35532.160000000003</v>
      </c>
    </row>
    <row r="1165" spans="1:10" x14ac:dyDescent="0.25">
      <c r="A1165" t="str">
        <f>"07/20/20"</f>
        <v>07/20/20</v>
      </c>
      <c r="B1165" t="s">
        <v>2242</v>
      </c>
      <c r="C1165" t="str">
        <f>"21229"</f>
        <v>21229</v>
      </c>
      <c r="D1165" t="str">
        <f>"2123A"</f>
        <v>2123A</v>
      </c>
      <c r="E1165" t="str">
        <f>"030 "</f>
        <v xml:space="preserve">030 </v>
      </c>
      <c r="F1165" t="s">
        <v>2243</v>
      </c>
      <c r="G1165" s="1">
        <v>52800</v>
      </c>
      <c r="H1165" t="s">
        <v>161</v>
      </c>
      <c r="I1165" t="s">
        <v>15</v>
      </c>
      <c r="J1165" s="1">
        <v>21831.64</v>
      </c>
    </row>
    <row r="1166" spans="1:10" x14ac:dyDescent="0.25">
      <c r="A1166" t="str">
        <f>"07/20/20"</f>
        <v>07/20/20</v>
      </c>
      <c r="B1166" t="s">
        <v>2244</v>
      </c>
      <c r="C1166" t="str">
        <f>"21223"</f>
        <v>21223</v>
      </c>
      <c r="D1166" t="str">
        <f>"2183 "</f>
        <v xml:space="preserve">2183 </v>
      </c>
      <c r="E1166" t="str">
        <f>"018 "</f>
        <v xml:space="preserve">018 </v>
      </c>
      <c r="F1166" t="s">
        <v>2245</v>
      </c>
      <c r="G1166" s="1">
        <v>6000</v>
      </c>
      <c r="H1166" t="s">
        <v>950</v>
      </c>
      <c r="I1166" t="s">
        <v>15</v>
      </c>
      <c r="J1166" s="1">
        <v>86420.07</v>
      </c>
    </row>
    <row r="1167" spans="1:10" x14ac:dyDescent="0.25">
      <c r="A1167" t="str">
        <f>"07/20/20"</f>
        <v>07/20/20</v>
      </c>
      <c r="B1167" t="s">
        <v>2246</v>
      </c>
      <c r="C1167" t="str">
        <f>"21223"</f>
        <v>21223</v>
      </c>
      <c r="D1167" t="str">
        <f>"2183 "</f>
        <v xml:space="preserve">2183 </v>
      </c>
      <c r="E1167" t="str">
        <f>"013 "</f>
        <v xml:space="preserve">013 </v>
      </c>
      <c r="F1167" t="s">
        <v>2247</v>
      </c>
      <c r="G1167" s="1">
        <v>1000</v>
      </c>
      <c r="H1167" t="s">
        <v>950</v>
      </c>
      <c r="I1167" t="s">
        <v>15</v>
      </c>
      <c r="J1167" s="1">
        <v>2460.9299999999998</v>
      </c>
    </row>
    <row r="1168" spans="1:10" x14ac:dyDescent="0.25">
      <c r="A1168" t="str">
        <f>"07/20/20"</f>
        <v>07/20/20</v>
      </c>
      <c r="B1168" t="s">
        <v>2248</v>
      </c>
      <c r="C1168" t="str">
        <f>"21223"</f>
        <v>21223</v>
      </c>
      <c r="D1168" t="str">
        <f>"2183A"</f>
        <v>2183A</v>
      </c>
      <c r="E1168" t="str">
        <f>"007 "</f>
        <v xml:space="preserve">007 </v>
      </c>
      <c r="F1168" t="s">
        <v>2249</v>
      </c>
      <c r="G1168" s="1">
        <v>6800</v>
      </c>
      <c r="H1168" t="s">
        <v>661</v>
      </c>
      <c r="I1168" t="s">
        <v>15</v>
      </c>
      <c r="J1168" s="1">
        <v>109076.2</v>
      </c>
    </row>
    <row r="1169" spans="1:10" x14ac:dyDescent="0.25">
      <c r="A1169" t="str">
        <f>"07/20/20"</f>
        <v>07/20/20</v>
      </c>
      <c r="B1169" t="s">
        <v>2250</v>
      </c>
      <c r="C1169" t="str">
        <f>"21223"</f>
        <v>21223</v>
      </c>
      <c r="D1169" t="str">
        <f>"2183A"</f>
        <v>2183A</v>
      </c>
      <c r="E1169" t="str">
        <f>"008 "</f>
        <v xml:space="preserve">008 </v>
      </c>
      <c r="F1169" t="s">
        <v>2251</v>
      </c>
      <c r="G1169" s="1">
        <v>16200</v>
      </c>
      <c r="H1169" t="s">
        <v>661</v>
      </c>
      <c r="I1169" t="s">
        <v>15</v>
      </c>
      <c r="J1169" s="1">
        <v>9951.2900000000009</v>
      </c>
    </row>
    <row r="1170" spans="1:10" x14ac:dyDescent="0.25">
      <c r="A1170" t="str">
        <f>"07/20/20"</f>
        <v>07/20/20</v>
      </c>
      <c r="B1170" t="s">
        <v>2252</v>
      </c>
      <c r="C1170" t="str">
        <f>"21225"</f>
        <v>21225</v>
      </c>
      <c r="D1170" t="str">
        <f>"7119 "</f>
        <v xml:space="preserve">7119 </v>
      </c>
      <c r="E1170" t="str">
        <f>"038 "</f>
        <v xml:space="preserve">038 </v>
      </c>
      <c r="F1170" t="s">
        <v>2253</v>
      </c>
      <c r="G1170" s="1">
        <v>58500</v>
      </c>
      <c r="H1170" t="s">
        <v>14</v>
      </c>
      <c r="I1170" t="s">
        <v>34</v>
      </c>
      <c r="J1170" s="1">
        <v>7891.35</v>
      </c>
    </row>
    <row r="1171" spans="1:10" x14ac:dyDescent="0.25">
      <c r="A1171" t="str">
        <f>"07/20/20"</f>
        <v>07/20/20</v>
      </c>
      <c r="B1171" t="s">
        <v>2254</v>
      </c>
      <c r="C1171" t="str">
        <f>"21225"</f>
        <v>21225</v>
      </c>
      <c r="D1171" t="str">
        <f>"7119 "</f>
        <v xml:space="preserve">7119 </v>
      </c>
      <c r="E1171" t="str">
        <f>"028 "</f>
        <v xml:space="preserve">028 </v>
      </c>
      <c r="F1171" t="s">
        <v>2255</v>
      </c>
      <c r="G1171" s="1">
        <v>46100</v>
      </c>
      <c r="H1171" t="s">
        <v>14</v>
      </c>
      <c r="I1171" t="s">
        <v>34</v>
      </c>
      <c r="J1171" s="1">
        <v>7098.42</v>
      </c>
    </row>
    <row r="1172" spans="1:10" x14ac:dyDescent="0.25">
      <c r="A1172" t="str">
        <f>"07/20/20"</f>
        <v>07/20/20</v>
      </c>
      <c r="B1172" t="s">
        <v>2256</v>
      </c>
      <c r="C1172" t="str">
        <f>"21205"</f>
        <v>21205</v>
      </c>
      <c r="D1172" t="str">
        <f>"1644 "</f>
        <v xml:space="preserve">1644 </v>
      </c>
      <c r="E1172" t="str">
        <f>"046 "</f>
        <v xml:space="preserve">046 </v>
      </c>
      <c r="F1172" t="s">
        <v>2257</v>
      </c>
      <c r="G1172" s="1">
        <v>10200</v>
      </c>
      <c r="H1172" t="s">
        <v>33</v>
      </c>
      <c r="I1172" t="s">
        <v>34</v>
      </c>
      <c r="J1172" s="1">
        <v>5123.4399999999996</v>
      </c>
    </row>
    <row r="1173" spans="1:10" x14ac:dyDescent="0.25">
      <c r="A1173" t="str">
        <f>"07/20/20"</f>
        <v>07/20/20</v>
      </c>
      <c r="B1173" t="s">
        <v>2258</v>
      </c>
      <c r="C1173" t="str">
        <f>"21217"</f>
        <v>21217</v>
      </c>
      <c r="D1173" t="str">
        <f>"0054 "</f>
        <v xml:space="preserve">0054 </v>
      </c>
      <c r="E1173" t="str">
        <f>"008 "</f>
        <v xml:space="preserve">008 </v>
      </c>
      <c r="F1173" t="s">
        <v>2259</v>
      </c>
      <c r="G1173" s="1">
        <v>30000</v>
      </c>
      <c r="H1173" t="s">
        <v>33</v>
      </c>
      <c r="I1173" t="s">
        <v>15</v>
      </c>
      <c r="J1173" s="1">
        <v>71842.399999999994</v>
      </c>
    </row>
    <row r="1174" spans="1:10" x14ac:dyDescent="0.25">
      <c r="A1174" t="str">
        <f>"07/20/20"</f>
        <v>07/20/20</v>
      </c>
      <c r="B1174" t="s">
        <v>2260</v>
      </c>
      <c r="C1174" t="str">
        <f>"21223"</f>
        <v>21223</v>
      </c>
      <c r="D1174" t="str">
        <f>"0280 "</f>
        <v xml:space="preserve">0280 </v>
      </c>
      <c r="E1174" t="str">
        <f>"052 "</f>
        <v xml:space="preserve">052 </v>
      </c>
      <c r="F1174" t="s">
        <v>2261</v>
      </c>
      <c r="G1174" s="1">
        <v>1000</v>
      </c>
      <c r="H1174" t="s">
        <v>33</v>
      </c>
      <c r="I1174" t="s">
        <v>15</v>
      </c>
      <c r="J1174" s="1">
        <v>55172.15</v>
      </c>
    </row>
    <row r="1175" spans="1:10" x14ac:dyDescent="0.25">
      <c r="A1175" t="str">
        <f>"07/20/20"</f>
        <v>07/20/20</v>
      </c>
      <c r="B1175" t="s">
        <v>2262</v>
      </c>
      <c r="C1175" t="str">
        <f>"21223"</f>
        <v>21223</v>
      </c>
      <c r="D1175" t="str">
        <f>"0151 "</f>
        <v xml:space="preserve">0151 </v>
      </c>
      <c r="E1175" t="str">
        <f>"039 "</f>
        <v xml:space="preserve">039 </v>
      </c>
      <c r="F1175" t="s">
        <v>2263</v>
      </c>
      <c r="G1175" s="1">
        <v>7000</v>
      </c>
      <c r="H1175" t="s">
        <v>33</v>
      </c>
      <c r="I1175" t="s">
        <v>15</v>
      </c>
      <c r="J1175" s="1">
        <v>25783.85</v>
      </c>
    </row>
    <row r="1176" spans="1:10" x14ac:dyDescent="0.25">
      <c r="A1176" t="str">
        <f>"07/20/20"</f>
        <v>07/20/20</v>
      </c>
      <c r="B1176" t="s">
        <v>2264</v>
      </c>
      <c r="C1176" t="str">
        <f>"21223"</f>
        <v>21223</v>
      </c>
      <c r="D1176" t="str">
        <f>"0151 "</f>
        <v xml:space="preserve">0151 </v>
      </c>
      <c r="E1176" t="str">
        <f>"035 "</f>
        <v xml:space="preserve">035 </v>
      </c>
      <c r="F1176" t="s">
        <v>2265</v>
      </c>
      <c r="G1176" s="1">
        <v>9200</v>
      </c>
      <c r="H1176" t="s">
        <v>33</v>
      </c>
      <c r="I1176" t="s">
        <v>15</v>
      </c>
      <c r="J1176" s="1">
        <v>67653.11</v>
      </c>
    </row>
    <row r="1177" spans="1:10" x14ac:dyDescent="0.25">
      <c r="A1177" t="str">
        <f>"07/20/20"</f>
        <v>07/20/20</v>
      </c>
      <c r="B1177" t="s">
        <v>2266</v>
      </c>
      <c r="C1177" t="str">
        <f>"21223"</f>
        <v>21223</v>
      </c>
      <c r="D1177" t="str">
        <f>"0181 "</f>
        <v xml:space="preserve">0181 </v>
      </c>
      <c r="E1177" t="str">
        <f>"041 "</f>
        <v xml:space="preserve">041 </v>
      </c>
      <c r="F1177" t="s">
        <v>2267</v>
      </c>
      <c r="G1177" s="1">
        <v>14400</v>
      </c>
      <c r="H1177" t="s">
        <v>33</v>
      </c>
      <c r="I1177" t="s">
        <v>15</v>
      </c>
      <c r="J1177" s="1">
        <v>658570.16</v>
      </c>
    </row>
    <row r="1178" spans="1:10" x14ac:dyDescent="0.25">
      <c r="A1178" t="str">
        <f>"07/20/20"</f>
        <v>07/20/20</v>
      </c>
      <c r="B1178" t="s">
        <v>2268</v>
      </c>
      <c r="C1178" t="str">
        <f>"21223"</f>
        <v>21223</v>
      </c>
      <c r="D1178" t="str">
        <f>"0152 "</f>
        <v xml:space="preserve">0152 </v>
      </c>
      <c r="E1178" t="str">
        <f>"021 "</f>
        <v xml:space="preserve">021 </v>
      </c>
      <c r="F1178" t="s">
        <v>2269</v>
      </c>
      <c r="G1178" s="1">
        <v>5100</v>
      </c>
      <c r="H1178" t="s">
        <v>33</v>
      </c>
      <c r="I1178" t="s">
        <v>15</v>
      </c>
      <c r="J1178" s="1">
        <v>86619.59</v>
      </c>
    </row>
    <row r="1179" spans="1:10" x14ac:dyDescent="0.25">
      <c r="A1179" t="str">
        <f>"07/20/20"</f>
        <v>07/20/20</v>
      </c>
      <c r="B1179" t="s">
        <v>2270</v>
      </c>
      <c r="C1179" t="str">
        <f>"21223"</f>
        <v>21223</v>
      </c>
      <c r="D1179" t="str">
        <f>"0123 "</f>
        <v xml:space="preserve">0123 </v>
      </c>
      <c r="E1179" t="str">
        <f>"001 "</f>
        <v xml:space="preserve">001 </v>
      </c>
      <c r="F1179" t="s">
        <v>2271</v>
      </c>
      <c r="G1179" s="1">
        <v>1000</v>
      </c>
      <c r="H1179" t="s">
        <v>33</v>
      </c>
      <c r="I1179" t="s">
        <v>15</v>
      </c>
      <c r="J1179" s="1">
        <v>108986.35</v>
      </c>
    </row>
    <row r="1180" spans="1:10" x14ac:dyDescent="0.25">
      <c r="A1180" t="str">
        <f>"07/20/20"</f>
        <v>07/20/20</v>
      </c>
      <c r="B1180" t="s">
        <v>2272</v>
      </c>
      <c r="C1180" t="str">
        <f>"21223"</f>
        <v>21223</v>
      </c>
      <c r="D1180" t="str">
        <f>"0181 "</f>
        <v xml:space="preserve">0181 </v>
      </c>
      <c r="E1180" t="str">
        <f>"042 "</f>
        <v xml:space="preserve">042 </v>
      </c>
      <c r="F1180" t="s">
        <v>2273</v>
      </c>
      <c r="G1180" s="1">
        <v>14400</v>
      </c>
      <c r="H1180" t="s">
        <v>33</v>
      </c>
      <c r="I1180" t="s">
        <v>15</v>
      </c>
      <c r="J1180" s="1">
        <v>87316.47</v>
      </c>
    </row>
    <row r="1181" spans="1:10" x14ac:dyDescent="0.25">
      <c r="A1181" t="str">
        <f>"07/20/20"</f>
        <v>07/20/20</v>
      </c>
      <c r="B1181" t="s">
        <v>2274</v>
      </c>
      <c r="C1181" t="str">
        <f>"21217"</f>
        <v>21217</v>
      </c>
      <c r="D1181" t="str">
        <f>"0087 "</f>
        <v xml:space="preserve">0087 </v>
      </c>
      <c r="E1181" t="str">
        <f>"060 "</f>
        <v xml:space="preserve">060 </v>
      </c>
      <c r="F1181" t="s">
        <v>2275</v>
      </c>
      <c r="G1181" s="1">
        <v>1000</v>
      </c>
      <c r="H1181" t="s">
        <v>33</v>
      </c>
      <c r="I1181" t="s">
        <v>15</v>
      </c>
      <c r="J1181" s="1">
        <v>82041.47</v>
      </c>
    </row>
    <row r="1182" spans="1:10" x14ac:dyDescent="0.25">
      <c r="A1182" t="str">
        <f>"07/20/20"</f>
        <v>07/20/20</v>
      </c>
      <c r="B1182" t="s">
        <v>2276</v>
      </c>
      <c r="C1182" t="str">
        <f>"21229"</f>
        <v>21229</v>
      </c>
      <c r="D1182" t="str">
        <f>"2121A"</f>
        <v>2121A</v>
      </c>
      <c r="E1182" t="str">
        <f>"008 "</f>
        <v xml:space="preserve">008 </v>
      </c>
      <c r="F1182" t="s">
        <v>952</v>
      </c>
      <c r="G1182" s="1">
        <v>70800</v>
      </c>
      <c r="H1182" t="s">
        <v>14</v>
      </c>
      <c r="I1182" t="s">
        <v>15</v>
      </c>
      <c r="J1182" s="1">
        <v>39121.120000000003</v>
      </c>
    </row>
    <row r="1183" spans="1:10" x14ac:dyDescent="0.25">
      <c r="A1183" t="str">
        <f>"07/20/20"</f>
        <v>07/20/20</v>
      </c>
      <c r="B1183" t="s">
        <v>2277</v>
      </c>
      <c r="C1183" t="str">
        <f>"21223"</f>
        <v>21223</v>
      </c>
      <c r="D1183" t="str">
        <f>"2123B"</f>
        <v>2123B</v>
      </c>
      <c r="E1183" t="str">
        <f>"043C"</f>
        <v>043C</v>
      </c>
      <c r="F1183" t="s">
        <v>2278</v>
      </c>
      <c r="G1183" s="1">
        <v>49600</v>
      </c>
      <c r="H1183" t="s">
        <v>661</v>
      </c>
      <c r="I1183" t="s">
        <v>15</v>
      </c>
      <c r="J1183" s="1">
        <v>16442.23</v>
      </c>
    </row>
    <row r="1184" spans="1:10" x14ac:dyDescent="0.25">
      <c r="A1184" t="str">
        <f>"07/20/20"</f>
        <v>07/20/20</v>
      </c>
      <c r="B1184" t="s">
        <v>2279</v>
      </c>
      <c r="C1184" t="str">
        <f>"21229"</f>
        <v>21229</v>
      </c>
      <c r="D1184" t="str">
        <f>"2121A"</f>
        <v>2121A</v>
      </c>
      <c r="E1184" t="str">
        <f>"012 "</f>
        <v xml:space="preserve">012 </v>
      </c>
      <c r="F1184" t="s">
        <v>2280</v>
      </c>
      <c r="G1184" s="1">
        <v>59000</v>
      </c>
      <c r="H1184" t="s">
        <v>14</v>
      </c>
      <c r="I1184" t="s">
        <v>15</v>
      </c>
      <c r="J1184" s="1">
        <v>25899.21</v>
      </c>
    </row>
    <row r="1185" spans="1:10" x14ac:dyDescent="0.25">
      <c r="A1185" t="str">
        <f>"07/20/20"</f>
        <v>07/20/20</v>
      </c>
      <c r="B1185" t="s">
        <v>2281</v>
      </c>
      <c r="C1185" t="str">
        <f>"21223"</f>
        <v>21223</v>
      </c>
      <c r="D1185" t="str">
        <f>"2123B"</f>
        <v>2123B</v>
      </c>
      <c r="E1185" t="str">
        <f>"098 "</f>
        <v xml:space="preserve">098 </v>
      </c>
      <c r="F1185" t="s">
        <v>2282</v>
      </c>
      <c r="G1185" s="1">
        <v>51600</v>
      </c>
      <c r="H1185" t="s">
        <v>14</v>
      </c>
      <c r="I1185" t="s">
        <v>34</v>
      </c>
      <c r="J1185" s="1">
        <v>31138.27</v>
      </c>
    </row>
    <row r="1186" spans="1:10" x14ac:dyDescent="0.25">
      <c r="A1186" t="str">
        <f>"07/20/20"</f>
        <v>07/20/20</v>
      </c>
      <c r="B1186" t="s">
        <v>2283</v>
      </c>
      <c r="C1186" t="str">
        <f>"21223"</f>
        <v>21223</v>
      </c>
      <c r="D1186" t="str">
        <f>"2123B"</f>
        <v>2123B</v>
      </c>
      <c r="E1186" t="str">
        <f>"050 "</f>
        <v xml:space="preserve">050 </v>
      </c>
      <c r="F1186" t="s">
        <v>2284</v>
      </c>
      <c r="G1186" s="1">
        <v>49500</v>
      </c>
      <c r="H1186" t="s">
        <v>661</v>
      </c>
      <c r="I1186" t="s">
        <v>34</v>
      </c>
      <c r="J1186" s="1">
        <v>17834.04</v>
      </c>
    </row>
    <row r="1187" spans="1:10" x14ac:dyDescent="0.25">
      <c r="A1187" t="str">
        <f>"07/20/20"</f>
        <v>07/20/20</v>
      </c>
      <c r="B1187" t="s">
        <v>2285</v>
      </c>
      <c r="C1187" t="str">
        <f>"PRIN7"</f>
        <v>PRIN7</v>
      </c>
      <c r="D1187" t="str">
        <f>"4267 "</f>
        <v xml:space="preserve">4267 </v>
      </c>
      <c r="E1187" t="str">
        <f>"026 "</f>
        <v xml:space="preserve">026 </v>
      </c>
      <c r="F1187" t="s">
        <v>73</v>
      </c>
      <c r="G1187" s="1">
        <v>2700</v>
      </c>
      <c r="H1187" t="s">
        <v>74</v>
      </c>
      <c r="I1187" t="s">
        <v>15</v>
      </c>
      <c r="J1187" s="1">
        <v>817.32</v>
      </c>
    </row>
    <row r="1188" spans="1:10" x14ac:dyDescent="0.25">
      <c r="A1188" t="str">
        <f>"07/20/20"</f>
        <v>07/20/20</v>
      </c>
      <c r="B1188" t="s">
        <v>2286</v>
      </c>
      <c r="C1188" t="str">
        <f>"PRIN7"</f>
        <v>PRIN7</v>
      </c>
      <c r="D1188" t="str">
        <f>"4267 "</f>
        <v xml:space="preserve">4267 </v>
      </c>
      <c r="E1188" t="str">
        <f>"022 "</f>
        <v xml:space="preserve">022 </v>
      </c>
      <c r="F1188" t="s">
        <v>73</v>
      </c>
      <c r="G1188" s="1">
        <v>2700</v>
      </c>
      <c r="H1188" t="s">
        <v>74</v>
      </c>
      <c r="I1188" t="s">
        <v>15</v>
      </c>
      <c r="J1188" s="1">
        <v>817.32</v>
      </c>
    </row>
    <row r="1189" spans="1:10" x14ac:dyDescent="0.25">
      <c r="A1189" t="str">
        <f>"07/20/20"</f>
        <v>07/20/20</v>
      </c>
      <c r="B1189" t="s">
        <v>2287</v>
      </c>
      <c r="C1189" t="str">
        <f>"PRIN7"</f>
        <v>PRIN7</v>
      </c>
      <c r="D1189" t="str">
        <f>"4267 "</f>
        <v xml:space="preserve">4267 </v>
      </c>
      <c r="E1189" t="str">
        <f>"027 "</f>
        <v xml:space="preserve">027 </v>
      </c>
      <c r="F1189" t="s">
        <v>73</v>
      </c>
      <c r="G1189" s="1">
        <v>2700</v>
      </c>
      <c r="H1189" t="s">
        <v>74</v>
      </c>
      <c r="I1189" t="s">
        <v>15</v>
      </c>
      <c r="J1189" s="1">
        <v>817.32</v>
      </c>
    </row>
    <row r="1190" spans="1:10" x14ac:dyDescent="0.25">
      <c r="A1190" t="str">
        <f>"07/20/20"</f>
        <v>07/20/20</v>
      </c>
      <c r="B1190" t="s">
        <v>2288</v>
      </c>
      <c r="C1190" t="str">
        <f>"PRIN7"</f>
        <v>PRIN7</v>
      </c>
      <c r="D1190" t="str">
        <f>"4267 "</f>
        <v xml:space="preserve">4267 </v>
      </c>
      <c r="E1190" t="str">
        <f>"028 "</f>
        <v xml:space="preserve">028 </v>
      </c>
      <c r="F1190" t="s">
        <v>73</v>
      </c>
      <c r="G1190" s="1">
        <v>5400</v>
      </c>
      <c r="H1190" t="s">
        <v>74</v>
      </c>
      <c r="I1190" t="s">
        <v>15</v>
      </c>
      <c r="J1190" s="1">
        <v>8260.23</v>
      </c>
    </row>
    <row r="1191" spans="1:10" x14ac:dyDescent="0.25">
      <c r="A1191" t="str">
        <f>"07/20/20"</f>
        <v>07/20/20</v>
      </c>
      <c r="B1191" t="s">
        <v>2289</v>
      </c>
      <c r="C1191" t="str">
        <f>"HERW6"</f>
        <v>HERW6</v>
      </c>
      <c r="D1191" t="str">
        <f>"4029 "</f>
        <v xml:space="preserve">4029 </v>
      </c>
      <c r="E1191" t="str">
        <f>"024 "</f>
        <v xml:space="preserve">024 </v>
      </c>
      <c r="F1191" t="s">
        <v>2290</v>
      </c>
      <c r="G1191" s="1">
        <v>1000</v>
      </c>
      <c r="H1191" t="s">
        <v>142</v>
      </c>
      <c r="I1191" t="s">
        <v>15</v>
      </c>
      <c r="J1191" s="1">
        <v>2362.04</v>
      </c>
    </row>
    <row r="1192" spans="1:10" x14ac:dyDescent="0.25">
      <c r="A1192" t="str">
        <f>"07/20/20"</f>
        <v>07/20/20</v>
      </c>
      <c r="B1192" t="s">
        <v>2291</v>
      </c>
      <c r="C1192" t="str">
        <f>" AV 0"</f>
        <v xml:space="preserve"> AV 0</v>
      </c>
      <c r="D1192" t="str">
        <f>"4544B"</f>
        <v>4544B</v>
      </c>
      <c r="E1192" t="str">
        <f>"021A"</f>
        <v>021A</v>
      </c>
      <c r="F1192" t="s">
        <v>1817</v>
      </c>
      <c r="G1192" s="1">
        <v>1000</v>
      </c>
      <c r="H1192" t="s">
        <v>91</v>
      </c>
      <c r="I1192" t="s">
        <v>15</v>
      </c>
      <c r="J1192" s="1">
        <v>646.24</v>
      </c>
    </row>
    <row r="1193" spans="1:10" x14ac:dyDescent="0.25">
      <c r="A1193" t="str">
        <f>"07/20/20"</f>
        <v>07/20/20</v>
      </c>
      <c r="B1193" t="s">
        <v>2292</v>
      </c>
      <c r="C1193" t="str">
        <f>"F BE3"</f>
        <v>F BE3</v>
      </c>
      <c r="D1193" t="str">
        <f>"5750 "</f>
        <v xml:space="preserve">5750 </v>
      </c>
      <c r="E1193" t="str">
        <f>"023A"</f>
        <v>023A</v>
      </c>
      <c r="F1193" t="s">
        <v>2293</v>
      </c>
      <c r="G1193" s="1">
        <v>14200</v>
      </c>
      <c r="H1193" t="s">
        <v>91</v>
      </c>
      <c r="I1193" t="s">
        <v>15</v>
      </c>
      <c r="J1193" s="1">
        <v>533.94000000000005</v>
      </c>
    </row>
    <row r="1194" spans="1:10" x14ac:dyDescent="0.25">
      <c r="A1194" t="str">
        <f>"07/20/20"</f>
        <v>07/20/20</v>
      </c>
      <c r="B1194" t="s">
        <v>2294</v>
      </c>
      <c r="C1194" t="str">
        <f>" REA9"</f>
        <v xml:space="preserve"> REA9</v>
      </c>
      <c r="D1194" t="str">
        <f>"4114A"</f>
        <v>4114A</v>
      </c>
      <c r="E1194" t="str">
        <f>"119 "</f>
        <v xml:space="preserve">119 </v>
      </c>
      <c r="F1194" t="s">
        <v>2295</v>
      </c>
      <c r="G1194" s="1">
        <v>500</v>
      </c>
      <c r="H1194" t="s">
        <v>1035</v>
      </c>
      <c r="I1194" t="s">
        <v>15</v>
      </c>
      <c r="J1194" s="1">
        <v>2698.36</v>
      </c>
    </row>
    <row r="1195" spans="1:10" x14ac:dyDescent="0.25">
      <c r="A1195" t="str">
        <f>"07/20/20"</f>
        <v>07/20/20</v>
      </c>
      <c r="B1195" t="s">
        <v>2296</v>
      </c>
      <c r="C1195" t="str">
        <f>"KLOW0"</f>
        <v>KLOW0</v>
      </c>
      <c r="D1195" t="str">
        <f>"2527 "</f>
        <v xml:space="preserve">2527 </v>
      </c>
      <c r="E1195" t="str">
        <f>"255 "</f>
        <v xml:space="preserve">255 </v>
      </c>
      <c r="F1195" t="s">
        <v>2297</v>
      </c>
      <c r="G1195" s="1">
        <v>300</v>
      </c>
      <c r="H1195" t="s">
        <v>91</v>
      </c>
      <c r="I1195" t="s">
        <v>15</v>
      </c>
      <c r="J1195" s="1">
        <v>602.85</v>
      </c>
    </row>
    <row r="1196" spans="1:10" x14ac:dyDescent="0.25">
      <c r="A1196" t="str">
        <f>"07/20/20"</f>
        <v>07/20/20</v>
      </c>
      <c r="B1196" t="s">
        <v>2298</v>
      </c>
      <c r="C1196" t="str">
        <f>"ST R5"</f>
        <v>ST R5</v>
      </c>
      <c r="D1196" t="str">
        <f>"2530D"</f>
        <v>2530D</v>
      </c>
      <c r="E1196" t="str">
        <f>"051F"</f>
        <v>051F</v>
      </c>
      <c r="F1196" t="s">
        <v>2299</v>
      </c>
      <c r="G1196" s="1">
        <v>2300</v>
      </c>
      <c r="H1196" t="s">
        <v>14</v>
      </c>
      <c r="I1196" t="s">
        <v>15</v>
      </c>
      <c r="J1196" s="1">
        <v>409.28</v>
      </c>
    </row>
    <row r="1197" spans="1:10" x14ac:dyDescent="0.25">
      <c r="A1197" t="str">
        <f>"07/20/20"</f>
        <v>07/20/20</v>
      </c>
      <c r="B1197" t="s">
        <v>2300</v>
      </c>
      <c r="C1197" t="str">
        <f>"21216"</f>
        <v>21216</v>
      </c>
      <c r="D1197" t="str">
        <f>"2872 "</f>
        <v xml:space="preserve">2872 </v>
      </c>
      <c r="E1197" t="str">
        <f>"041 "</f>
        <v xml:space="preserve">041 </v>
      </c>
      <c r="F1197" t="s">
        <v>2301</v>
      </c>
      <c r="G1197" s="1">
        <v>1000</v>
      </c>
      <c r="H1197" t="s">
        <v>2302</v>
      </c>
      <c r="I1197" t="s">
        <v>15</v>
      </c>
      <c r="J1197" s="1">
        <v>74336.98</v>
      </c>
    </row>
    <row r="1198" spans="1:10" x14ac:dyDescent="0.25">
      <c r="A1198" t="str">
        <f>"07/20/20"</f>
        <v>07/20/20</v>
      </c>
      <c r="B1198" t="s">
        <v>2303</v>
      </c>
      <c r="C1198" t="str">
        <f>"21215"</f>
        <v>21215</v>
      </c>
      <c r="D1198" t="str">
        <f>"3262B"</f>
        <v>3262B</v>
      </c>
      <c r="E1198" t="str">
        <f>"060 "</f>
        <v xml:space="preserve">060 </v>
      </c>
      <c r="F1198" t="s">
        <v>2304</v>
      </c>
      <c r="G1198" s="1">
        <v>900</v>
      </c>
      <c r="H1198" t="s">
        <v>14</v>
      </c>
      <c r="I1198" t="s">
        <v>15</v>
      </c>
      <c r="J1198" s="1">
        <v>3516.84</v>
      </c>
    </row>
    <row r="1199" spans="1:10" x14ac:dyDescent="0.25">
      <c r="A1199" t="str">
        <f>"07/20/20"</f>
        <v>07/20/20</v>
      </c>
      <c r="B1199" t="s">
        <v>2305</v>
      </c>
      <c r="C1199" t="str">
        <f>"21215"</f>
        <v>21215</v>
      </c>
      <c r="D1199" t="str">
        <f>"3262B"</f>
        <v>3262B</v>
      </c>
      <c r="E1199" t="str">
        <f>"075 "</f>
        <v xml:space="preserve">075 </v>
      </c>
      <c r="F1199" t="s">
        <v>2306</v>
      </c>
      <c r="G1199" s="1">
        <v>1100</v>
      </c>
      <c r="H1199" t="s">
        <v>14</v>
      </c>
      <c r="I1199" t="s">
        <v>15</v>
      </c>
      <c r="J1199" s="1">
        <v>3727.85</v>
      </c>
    </row>
    <row r="1200" spans="1:10" x14ac:dyDescent="0.25">
      <c r="A1200" t="str">
        <f>"07/20/20"</f>
        <v>07/20/20</v>
      </c>
      <c r="B1200" t="s">
        <v>2307</v>
      </c>
      <c r="C1200" t="str">
        <f>"21215"</f>
        <v>21215</v>
      </c>
      <c r="D1200" t="str">
        <f>"3177 "</f>
        <v xml:space="preserve">3177 </v>
      </c>
      <c r="E1200" t="str">
        <f>"031 "</f>
        <v xml:space="preserve">031 </v>
      </c>
      <c r="F1200" t="s">
        <v>2308</v>
      </c>
      <c r="G1200" s="1">
        <v>19000</v>
      </c>
      <c r="H1200" t="s">
        <v>14</v>
      </c>
      <c r="I1200" t="s">
        <v>15</v>
      </c>
      <c r="J1200" s="1">
        <v>19291.88</v>
      </c>
    </row>
    <row r="1201" spans="1:10" x14ac:dyDescent="0.25">
      <c r="A1201" t="str">
        <f>"07/20/20"</f>
        <v>07/20/20</v>
      </c>
      <c r="B1201" t="s">
        <v>2309</v>
      </c>
      <c r="C1201" t="str">
        <f>"21215"</f>
        <v>21215</v>
      </c>
      <c r="D1201" t="str">
        <f>"3177A"</f>
        <v>3177A</v>
      </c>
      <c r="E1201" t="str">
        <f>"021 "</f>
        <v xml:space="preserve">021 </v>
      </c>
      <c r="F1201" t="s">
        <v>2310</v>
      </c>
      <c r="G1201" s="1">
        <v>9000</v>
      </c>
      <c r="H1201" t="s">
        <v>14</v>
      </c>
      <c r="I1201" t="s">
        <v>15</v>
      </c>
      <c r="J1201" s="1">
        <v>48112.27</v>
      </c>
    </row>
    <row r="1202" spans="1:10" x14ac:dyDescent="0.25">
      <c r="A1202" t="str">
        <f>"07/20/20"</f>
        <v>07/20/20</v>
      </c>
      <c r="B1202" t="s">
        <v>2311</v>
      </c>
      <c r="C1202" t="str">
        <f>"21225"</f>
        <v>21225</v>
      </c>
      <c r="D1202" t="str">
        <f>"7136 "</f>
        <v xml:space="preserve">7136 </v>
      </c>
      <c r="E1202" t="str">
        <f>"044 "</f>
        <v xml:space="preserve">044 </v>
      </c>
      <c r="F1202" t="s">
        <v>2312</v>
      </c>
      <c r="G1202" s="1">
        <v>60700</v>
      </c>
      <c r="H1202" t="s">
        <v>14</v>
      </c>
      <c r="I1202" t="s">
        <v>15</v>
      </c>
      <c r="J1202" s="1">
        <v>13617.02</v>
      </c>
    </row>
    <row r="1203" spans="1:10" x14ac:dyDescent="0.25">
      <c r="A1203" t="str">
        <f>"07/20/20"</f>
        <v>07/20/20</v>
      </c>
      <c r="B1203" t="s">
        <v>2313</v>
      </c>
      <c r="C1203" t="str">
        <f>"21223"</f>
        <v>21223</v>
      </c>
      <c r="D1203" t="str">
        <f>"0262 "</f>
        <v xml:space="preserve">0262 </v>
      </c>
      <c r="E1203" t="str">
        <f>"088 "</f>
        <v xml:space="preserve">088 </v>
      </c>
      <c r="F1203" t="s">
        <v>2314</v>
      </c>
      <c r="G1203" s="1">
        <v>25000</v>
      </c>
      <c r="H1203" t="s">
        <v>33</v>
      </c>
      <c r="I1203" t="s">
        <v>15</v>
      </c>
      <c r="J1203" s="1">
        <v>19042.61</v>
      </c>
    </row>
    <row r="1204" spans="1:10" x14ac:dyDescent="0.25">
      <c r="A1204" t="str">
        <f>"07/20/20"</f>
        <v>07/20/20</v>
      </c>
      <c r="B1204" t="s">
        <v>2315</v>
      </c>
      <c r="C1204" t="str">
        <f>"21223"</f>
        <v>21223</v>
      </c>
      <c r="D1204" t="str">
        <f>"0262 "</f>
        <v xml:space="preserve">0262 </v>
      </c>
      <c r="E1204" t="str">
        <f>"078 "</f>
        <v xml:space="preserve">078 </v>
      </c>
      <c r="F1204" t="s">
        <v>2316</v>
      </c>
      <c r="G1204" s="1">
        <v>25000</v>
      </c>
      <c r="H1204" t="s">
        <v>33</v>
      </c>
      <c r="I1204" t="s">
        <v>15</v>
      </c>
      <c r="J1204" s="1">
        <v>7022.12</v>
      </c>
    </row>
    <row r="1205" spans="1:10" x14ac:dyDescent="0.25">
      <c r="A1205" t="str">
        <f>"07/20/20"</f>
        <v>07/20/20</v>
      </c>
      <c r="B1205" t="s">
        <v>2317</v>
      </c>
      <c r="C1205" t="str">
        <f>"21223"</f>
        <v>21223</v>
      </c>
      <c r="D1205" t="str">
        <f>"0262 "</f>
        <v xml:space="preserve">0262 </v>
      </c>
      <c r="E1205" t="str">
        <f>"073 "</f>
        <v xml:space="preserve">073 </v>
      </c>
      <c r="F1205" t="s">
        <v>2318</v>
      </c>
      <c r="G1205" s="1">
        <v>7000</v>
      </c>
      <c r="H1205" t="s">
        <v>33</v>
      </c>
      <c r="I1205" t="s">
        <v>15</v>
      </c>
      <c r="J1205" s="1">
        <v>1814.86</v>
      </c>
    </row>
    <row r="1206" spans="1:10" x14ac:dyDescent="0.25">
      <c r="A1206" t="str">
        <f>"07/20/20"</f>
        <v>07/20/20</v>
      </c>
      <c r="B1206" t="s">
        <v>2319</v>
      </c>
      <c r="C1206" t="str">
        <f>"21223"</f>
        <v>21223</v>
      </c>
      <c r="D1206" t="str">
        <f>"0707 "</f>
        <v xml:space="preserve">0707 </v>
      </c>
      <c r="E1206" t="str">
        <f>"070 "</f>
        <v xml:space="preserve">070 </v>
      </c>
      <c r="F1206" t="s">
        <v>2320</v>
      </c>
      <c r="G1206" s="1">
        <v>7000</v>
      </c>
      <c r="H1206" t="s">
        <v>33</v>
      </c>
      <c r="I1206" t="s">
        <v>34</v>
      </c>
      <c r="J1206" s="1">
        <v>481.03</v>
      </c>
    </row>
    <row r="1207" spans="1:10" x14ac:dyDescent="0.25">
      <c r="A1207" t="str">
        <f>"07/20/20"</f>
        <v>07/20/20</v>
      </c>
      <c r="B1207" t="s">
        <v>2321</v>
      </c>
      <c r="C1207" t="str">
        <f>"21223"</f>
        <v>21223</v>
      </c>
      <c r="D1207" t="str">
        <f>"0707 "</f>
        <v xml:space="preserve">0707 </v>
      </c>
      <c r="E1207" t="str">
        <f>"079 "</f>
        <v xml:space="preserve">079 </v>
      </c>
      <c r="F1207" t="s">
        <v>2322</v>
      </c>
      <c r="G1207" s="1">
        <v>7000</v>
      </c>
      <c r="H1207" t="s">
        <v>33</v>
      </c>
      <c r="I1207" t="s">
        <v>34</v>
      </c>
      <c r="J1207" s="1">
        <v>453.84</v>
      </c>
    </row>
    <row r="1208" spans="1:10" x14ac:dyDescent="0.25">
      <c r="A1208" t="str">
        <f>"07/20/20"</f>
        <v>07/20/20</v>
      </c>
      <c r="B1208" t="s">
        <v>2323</v>
      </c>
      <c r="C1208" t="str">
        <f>"00000"</f>
        <v>00000</v>
      </c>
      <c r="D1208" t="str">
        <f>"0181 "</f>
        <v xml:space="preserve">0181 </v>
      </c>
      <c r="E1208" t="str">
        <f>"055 "</f>
        <v xml:space="preserve">055 </v>
      </c>
      <c r="F1208" t="s">
        <v>2324</v>
      </c>
      <c r="G1208" s="1">
        <v>2800</v>
      </c>
      <c r="H1208" t="s">
        <v>33</v>
      </c>
      <c r="I1208" t="s">
        <v>15</v>
      </c>
      <c r="J1208" s="1">
        <v>151835.48000000001</v>
      </c>
    </row>
    <row r="1209" spans="1:10" x14ac:dyDescent="0.25">
      <c r="A1209" t="str">
        <f>"07/20/20"</f>
        <v>07/20/20</v>
      </c>
      <c r="B1209" t="s">
        <v>2325</v>
      </c>
      <c r="C1209" t="str">
        <f>"00000"</f>
        <v>00000</v>
      </c>
      <c r="D1209" t="str">
        <f>"0181 "</f>
        <v xml:space="preserve">0181 </v>
      </c>
      <c r="E1209" t="str">
        <f>"054 "</f>
        <v xml:space="preserve">054 </v>
      </c>
      <c r="F1209" t="s">
        <v>2326</v>
      </c>
      <c r="G1209" s="1">
        <v>2800</v>
      </c>
      <c r="H1209" t="s">
        <v>33</v>
      </c>
      <c r="I1209" t="s">
        <v>15</v>
      </c>
      <c r="J1209" s="1">
        <v>139386.03</v>
      </c>
    </row>
    <row r="1210" spans="1:10" x14ac:dyDescent="0.25">
      <c r="A1210" t="str">
        <f>"07/20/20"</f>
        <v>07/20/20</v>
      </c>
      <c r="B1210" t="s">
        <v>2327</v>
      </c>
      <c r="C1210" t="str">
        <f>"21223"</f>
        <v>21223</v>
      </c>
      <c r="D1210" t="str">
        <f>"0177 "</f>
        <v xml:space="preserve">0177 </v>
      </c>
      <c r="E1210" t="str">
        <f>"087 "</f>
        <v xml:space="preserve">087 </v>
      </c>
      <c r="F1210" t="s">
        <v>2328</v>
      </c>
      <c r="G1210" s="1">
        <v>4000</v>
      </c>
      <c r="H1210" t="s">
        <v>30</v>
      </c>
      <c r="I1210" t="s">
        <v>15</v>
      </c>
      <c r="J1210" s="1">
        <v>126597.95</v>
      </c>
    </row>
    <row r="1211" spans="1:10" x14ac:dyDescent="0.25">
      <c r="A1211" t="str">
        <f>"07/20/20"</f>
        <v>07/20/20</v>
      </c>
      <c r="B1211" t="s">
        <v>2329</v>
      </c>
      <c r="C1211" t="str">
        <f>"00000"</f>
        <v>00000</v>
      </c>
      <c r="D1211" t="str">
        <f>"0181 "</f>
        <v xml:space="preserve">0181 </v>
      </c>
      <c r="E1211" t="str">
        <f>"057 "</f>
        <v xml:space="preserve">057 </v>
      </c>
      <c r="F1211" t="s">
        <v>2324</v>
      </c>
      <c r="G1211" s="1">
        <v>2800</v>
      </c>
      <c r="H1211" t="s">
        <v>33</v>
      </c>
      <c r="I1211" t="s">
        <v>15</v>
      </c>
      <c r="J1211" s="1">
        <v>29461.97</v>
      </c>
    </row>
    <row r="1212" spans="1:10" x14ac:dyDescent="0.25">
      <c r="A1212" t="str">
        <f>"07/20/20"</f>
        <v>07/20/20</v>
      </c>
      <c r="B1212" t="s">
        <v>2330</v>
      </c>
      <c r="C1212" t="str">
        <f>"21223"</f>
        <v>21223</v>
      </c>
      <c r="D1212" t="str">
        <f>"0177 "</f>
        <v xml:space="preserve">0177 </v>
      </c>
      <c r="E1212" t="str">
        <f>"072 "</f>
        <v xml:space="preserve">072 </v>
      </c>
      <c r="F1212" t="s">
        <v>2328</v>
      </c>
      <c r="G1212" s="1">
        <v>17000</v>
      </c>
      <c r="H1212" t="s">
        <v>30</v>
      </c>
      <c r="I1212" t="s">
        <v>15</v>
      </c>
      <c r="J1212" s="1">
        <v>137028.13</v>
      </c>
    </row>
    <row r="1213" spans="1:10" x14ac:dyDescent="0.25">
      <c r="A1213" t="str">
        <f>"07/20/20"</f>
        <v>07/20/20</v>
      </c>
      <c r="B1213" t="s">
        <v>2331</v>
      </c>
      <c r="C1213" t="str">
        <f>"21223"</f>
        <v>21223</v>
      </c>
      <c r="D1213" t="str">
        <f>"0177 "</f>
        <v xml:space="preserve">0177 </v>
      </c>
      <c r="E1213" t="str">
        <f>"071 "</f>
        <v xml:space="preserve">071 </v>
      </c>
      <c r="F1213" t="s">
        <v>2332</v>
      </c>
      <c r="G1213" s="1">
        <v>16500</v>
      </c>
      <c r="H1213" t="s">
        <v>30</v>
      </c>
      <c r="I1213" t="s">
        <v>15</v>
      </c>
      <c r="J1213" s="1">
        <v>259748.38</v>
      </c>
    </row>
    <row r="1214" spans="1:10" x14ac:dyDescent="0.25">
      <c r="A1214" t="str">
        <f>"07/20/20"</f>
        <v>07/20/20</v>
      </c>
      <c r="B1214" t="s">
        <v>2333</v>
      </c>
      <c r="C1214" t="str">
        <f>"00000"</f>
        <v>00000</v>
      </c>
      <c r="D1214" t="str">
        <f>"0181 "</f>
        <v xml:space="preserve">0181 </v>
      </c>
      <c r="E1214" t="str">
        <f>"060 "</f>
        <v xml:space="preserve">060 </v>
      </c>
      <c r="F1214" t="s">
        <v>2334</v>
      </c>
      <c r="G1214" s="1">
        <v>2400</v>
      </c>
      <c r="H1214" t="s">
        <v>33</v>
      </c>
      <c r="I1214" t="s">
        <v>15</v>
      </c>
      <c r="J1214" s="1">
        <v>3862.77</v>
      </c>
    </row>
    <row r="1215" spans="1:10" x14ac:dyDescent="0.25">
      <c r="A1215" t="str">
        <f>"07/20/20"</f>
        <v>07/20/20</v>
      </c>
      <c r="B1215" t="s">
        <v>2335</v>
      </c>
      <c r="C1215" t="str">
        <f>"21223"</f>
        <v>21223</v>
      </c>
      <c r="D1215" t="str">
        <f>"0177 "</f>
        <v xml:space="preserve">0177 </v>
      </c>
      <c r="E1215" t="str">
        <f>"083 "</f>
        <v xml:space="preserve">083 </v>
      </c>
      <c r="F1215" t="s">
        <v>2328</v>
      </c>
      <c r="G1215" s="1">
        <v>1000</v>
      </c>
      <c r="H1215" t="s">
        <v>30</v>
      </c>
      <c r="I1215" t="s">
        <v>15</v>
      </c>
      <c r="J1215" s="1">
        <v>106890.92</v>
      </c>
    </row>
    <row r="1216" spans="1:10" x14ac:dyDescent="0.25">
      <c r="A1216" t="str">
        <f>"07/20/20"</f>
        <v>07/20/20</v>
      </c>
      <c r="B1216" t="s">
        <v>2336</v>
      </c>
      <c r="C1216" t="str">
        <f>"00000"</f>
        <v>00000</v>
      </c>
      <c r="D1216" t="str">
        <f>"0181 "</f>
        <v xml:space="preserve">0181 </v>
      </c>
      <c r="E1216" t="str">
        <f>"053 "</f>
        <v xml:space="preserve">053 </v>
      </c>
      <c r="F1216" t="s">
        <v>2326</v>
      </c>
      <c r="G1216" s="1">
        <v>2800</v>
      </c>
      <c r="H1216" t="s">
        <v>33</v>
      </c>
      <c r="I1216" t="s">
        <v>15</v>
      </c>
      <c r="J1216" s="1">
        <v>126149.03</v>
      </c>
    </row>
    <row r="1217" spans="1:10" x14ac:dyDescent="0.25">
      <c r="A1217" t="str">
        <f>"07/20/20"</f>
        <v>07/20/20</v>
      </c>
      <c r="B1217" t="s">
        <v>2337</v>
      </c>
      <c r="C1217" t="str">
        <f>"21223"</f>
        <v>21223</v>
      </c>
      <c r="D1217" t="str">
        <f>"0177 "</f>
        <v xml:space="preserve">0177 </v>
      </c>
      <c r="E1217" t="str">
        <f>"075 "</f>
        <v xml:space="preserve">075 </v>
      </c>
      <c r="F1217" t="s">
        <v>2338</v>
      </c>
      <c r="G1217" s="1">
        <v>2000</v>
      </c>
      <c r="H1217" t="s">
        <v>30</v>
      </c>
      <c r="I1217" t="s">
        <v>34</v>
      </c>
      <c r="J1217" s="1">
        <v>89167.039999999994</v>
      </c>
    </row>
    <row r="1218" spans="1:10" x14ac:dyDescent="0.25">
      <c r="A1218" t="str">
        <f>"07/20/20"</f>
        <v>07/20/20</v>
      </c>
      <c r="B1218" t="s">
        <v>2339</v>
      </c>
      <c r="C1218" t="str">
        <f>"00000"</f>
        <v>00000</v>
      </c>
      <c r="D1218" t="str">
        <f>"0181 "</f>
        <v xml:space="preserve">0181 </v>
      </c>
      <c r="E1218" t="str">
        <f>"058 "</f>
        <v xml:space="preserve">058 </v>
      </c>
      <c r="F1218" t="s">
        <v>2324</v>
      </c>
      <c r="G1218" s="1">
        <v>2800</v>
      </c>
      <c r="H1218" t="s">
        <v>33</v>
      </c>
      <c r="I1218" t="s">
        <v>15</v>
      </c>
      <c r="J1218" s="1">
        <v>4977.01</v>
      </c>
    </row>
    <row r="1219" spans="1:10" x14ac:dyDescent="0.25">
      <c r="A1219" t="str">
        <f>"07/20/20"</f>
        <v>07/20/20</v>
      </c>
      <c r="B1219" t="s">
        <v>2340</v>
      </c>
      <c r="C1219" t="str">
        <f>"21223"</f>
        <v>21223</v>
      </c>
      <c r="D1219" t="str">
        <f>"0175 "</f>
        <v xml:space="preserve">0175 </v>
      </c>
      <c r="E1219" t="str">
        <f>"030 "</f>
        <v xml:space="preserve">030 </v>
      </c>
      <c r="F1219" t="s">
        <v>2341</v>
      </c>
      <c r="G1219" s="1">
        <v>10200</v>
      </c>
      <c r="H1219" t="s">
        <v>33</v>
      </c>
      <c r="I1219" t="s">
        <v>34</v>
      </c>
      <c r="J1219" s="1">
        <v>26055.06</v>
      </c>
    </row>
    <row r="1220" spans="1:10" x14ac:dyDescent="0.25">
      <c r="A1220" t="str">
        <f>"07/20/20"</f>
        <v>07/20/20</v>
      </c>
      <c r="B1220" t="s">
        <v>2342</v>
      </c>
      <c r="C1220" t="str">
        <f>"00000"</f>
        <v>00000</v>
      </c>
      <c r="D1220" t="str">
        <f>"0181 "</f>
        <v xml:space="preserve">0181 </v>
      </c>
      <c r="E1220" t="str">
        <f>"061 "</f>
        <v xml:space="preserve">061 </v>
      </c>
      <c r="F1220" t="s">
        <v>2334</v>
      </c>
      <c r="G1220" s="1">
        <v>2400</v>
      </c>
      <c r="H1220" t="s">
        <v>33</v>
      </c>
      <c r="I1220" t="s">
        <v>15</v>
      </c>
      <c r="J1220" s="1">
        <v>17178.560000000001</v>
      </c>
    </row>
    <row r="1221" spans="1:10" x14ac:dyDescent="0.25">
      <c r="A1221" t="str">
        <f>"07/20/20"</f>
        <v>07/20/20</v>
      </c>
      <c r="B1221" t="s">
        <v>2343</v>
      </c>
      <c r="C1221" t="str">
        <f>"00000"</f>
        <v>00000</v>
      </c>
      <c r="D1221" t="str">
        <f>"0181 "</f>
        <v xml:space="preserve">0181 </v>
      </c>
      <c r="E1221" t="str">
        <f>"059 "</f>
        <v xml:space="preserve">059 </v>
      </c>
      <c r="F1221" t="s">
        <v>2324</v>
      </c>
      <c r="G1221" s="1">
        <v>2400</v>
      </c>
      <c r="H1221" t="s">
        <v>33</v>
      </c>
      <c r="I1221" t="s">
        <v>15</v>
      </c>
      <c r="J1221" s="1">
        <v>146366.10999999999</v>
      </c>
    </row>
    <row r="1222" spans="1:10" x14ac:dyDescent="0.25">
      <c r="A1222" t="str">
        <f>"07/20/20"</f>
        <v>07/20/20</v>
      </c>
      <c r="B1222" t="s">
        <v>2344</v>
      </c>
      <c r="C1222" t="str">
        <f>"21223"</f>
        <v>21223</v>
      </c>
      <c r="D1222" t="str">
        <f>"0175 "</f>
        <v xml:space="preserve">0175 </v>
      </c>
      <c r="E1222" t="str">
        <f>"062 "</f>
        <v xml:space="preserve">062 </v>
      </c>
      <c r="F1222" t="s">
        <v>2345</v>
      </c>
      <c r="G1222" s="1">
        <v>10200</v>
      </c>
      <c r="H1222" t="s">
        <v>33</v>
      </c>
      <c r="I1222" t="s">
        <v>15</v>
      </c>
      <c r="J1222" s="1">
        <v>12455.39</v>
      </c>
    </row>
    <row r="1223" spans="1:10" x14ac:dyDescent="0.25">
      <c r="A1223" t="str">
        <f>"07/20/20"</f>
        <v>07/20/20</v>
      </c>
      <c r="B1223" t="s">
        <v>2346</v>
      </c>
      <c r="C1223" t="str">
        <f>"21215"</f>
        <v>21215</v>
      </c>
      <c r="D1223" t="str">
        <f>"3197 "</f>
        <v xml:space="preserve">3197 </v>
      </c>
      <c r="E1223" t="str">
        <f>"039 "</f>
        <v xml:space="preserve">039 </v>
      </c>
      <c r="F1223" t="s">
        <v>2347</v>
      </c>
      <c r="G1223" s="1">
        <v>1000</v>
      </c>
      <c r="H1223" t="s">
        <v>14</v>
      </c>
      <c r="I1223" t="s">
        <v>15</v>
      </c>
      <c r="J1223" s="1">
        <v>112974.31</v>
      </c>
    </row>
    <row r="1224" spans="1:10" x14ac:dyDescent="0.25">
      <c r="A1224" t="str">
        <f>"07/20/20"</f>
        <v>07/20/20</v>
      </c>
      <c r="B1224" t="s">
        <v>2348</v>
      </c>
      <c r="C1224" t="str">
        <f>"21215"</f>
        <v>21215</v>
      </c>
      <c r="D1224" t="str">
        <f>"3196F"</f>
        <v>3196F</v>
      </c>
      <c r="E1224" t="str">
        <f>"029 "</f>
        <v xml:space="preserve">029 </v>
      </c>
      <c r="F1224" t="s">
        <v>128</v>
      </c>
      <c r="G1224" s="1">
        <v>1000</v>
      </c>
      <c r="H1224" t="s">
        <v>14</v>
      </c>
      <c r="I1224" t="s">
        <v>15</v>
      </c>
      <c r="J1224" s="1">
        <v>71052.210000000006</v>
      </c>
    </row>
    <row r="1225" spans="1:10" x14ac:dyDescent="0.25">
      <c r="A1225" t="str">
        <f>"07/20/20"</f>
        <v>07/20/20</v>
      </c>
      <c r="B1225" t="s">
        <v>2349</v>
      </c>
      <c r="C1225" t="str">
        <f>"21215"</f>
        <v>21215</v>
      </c>
      <c r="D1225" t="str">
        <f>"3197 "</f>
        <v xml:space="preserve">3197 </v>
      </c>
      <c r="E1225" t="str">
        <f>"035 "</f>
        <v xml:space="preserve">035 </v>
      </c>
      <c r="F1225" t="s">
        <v>2350</v>
      </c>
      <c r="G1225" s="1">
        <v>1000</v>
      </c>
      <c r="H1225" t="s">
        <v>14</v>
      </c>
      <c r="I1225" t="s">
        <v>15</v>
      </c>
      <c r="J1225" s="1">
        <v>99862.45</v>
      </c>
    </row>
    <row r="1226" spans="1:10" x14ac:dyDescent="0.25">
      <c r="A1226" t="str">
        <f>"07/20/20"</f>
        <v>07/20/20</v>
      </c>
      <c r="B1226" t="s">
        <v>2351</v>
      </c>
      <c r="C1226" t="str">
        <f>" AVE0"</f>
        <v xml:space="preserve"> AVE0</v>
      </c>
      <c r="D1226" t="str">
        <f>"5148A"</f>
        <v>5148A</v>
      </c>
      <c r="E1226" t="str">
        <f>"055B"</f>
        <v>055B</v>
      </c>
      <c r="F1226" t="s">
        <v>1731</v>
      </c>
      <c r="G1226" s="1">
        <v>11100</v>
      </c>
      <c r="H1226" t="s">
        <v>137</v>
      </c>
      <c r="I1226" t="s">
        <v>15</v>
      </c>
      <c r="J1226" s="1">
        <v>7978.17</v>
      </c>
    </row>
    <row r="1227" spans="1:10" x14ac:dyDescent="0.25">
      <c r="A1227" t="str">
        <f>"07/20/20"</f>
        <v>07/20/20</v>
      </c>
      <c r="B1227" t="s">
        <v>2352</v>
      </c>
      <c r="C1227" t="str">
        <f>"21216"</f>
        <v>21216</v>
      </c>
      <c r="D1227" t="str">
        <f>"3012 "</f>
        <v xml:space="preserve">3012 </v>
      </c>
      <c r="E1227" t="str">
        <f>"008 "</f>
        <v xml:space="preserve">008 </v>
      </c>
      <c r="F1227" t="s">
        <v>2353</v>
      </c>
      <c r="G1227" s="1">
        <v>7000</v>
      </c>
      <c r="H1227" t="s">
        <v>14</v>
      </c>
      <c r="I1227" t="s">
        <v>15</v>
      </c>
      <c r="J1227" s="1">
        <v>218798.07999999999</v>
      </c>
    </row>
    <row r="1228" spans="1:10" x14ac:dyDescent="0.25">
      <c r="A1228" t="str">
        <f>"07/20/20"</f>
        <v>07/20/20</v>
      </c>
      <c r="B1228" t="s">
        <v>2354</v>
      </c>
      <c r="C1228" t="str">
        <f>"21216"</f>
        <v>21216</v>
      </c>
      <c r="D1228" t="str">
        <f>"3000 "</f>
        <v xml:space="preserve">3000 </v>
      </c>
      <c r="E1228" t="str">
        <f>"009 "</f>
        <v xml:space="preserve">009 </v>
      </c>
      <c r="F1228" t="s">
        <v>2355</v>
      </c>
      <c r="G1228" s="1">
        <v>1000</v>
      </c>
      <c r="H1228" t="s">
        <v>14</v>
      </c>
      <c r="I1228" t="s">
        <v>15</v>
      </c>
      <c r="J1228" s="1">
        <v>35459.1</v>
      </c>
    </row>
    <row r="1229" spans="1:10" x14ac:dyDescent="0.25">
      <c r="A1229" t="str">
        <f>"07/20/20"</f>
        <v>07/20/20</v>
      </c>
      <c r="B1229" t="s">
        <v>2356</v>
      </c>
      <c r="C1229" t="str">
        <f>"21217"</f>
        <v>21217</v>
      </c>
      <c r="D1229" t="str">
        <f>"3207 "</f>
        <v xml:space="preserve">3207 </v>
      </c>
      <c r="E1229" t="str">
        <f>"054 "</f>
        <v xml:space="preserve">054 </v>
      </c>
      <c r="F1229" t="s">
        <v>2357</v>
      </c>
      <c r="G1229" s="1">
        <v>1000</v>
      </c>
      <c r="H1229" t="s">
        <v>33</v>
      </c>
      <c r="I1229" t="s">
        <v>15</v>
      </c>
      <c r="J1229" s="1">
        <v>12880.52</v>
      </c>
    </row>
    <row r="1230" spans="1:10" x14ac:dyDescent="0.25">
      <c r="A1230" t="str">
        <f>"07/20/20"</f>
        <v>07/20/20</v>
      </c>
      <c r="B1230" t="s">
        <v>2358</v>
      </c>
      <c r="C1230" t="str">
        <f>"21217"</f>
        <v>21217</v>
      </c>
      <c r="D1230" t="str">
        <f>"3211 "</f>
        <v xml:space="preserve">3211 </v>
      </c>
      <c r="E1230" t="str">
        <f>"023 "</f>
        <v xml:space="preserve">023 </v>
      </c>
      <c r="F1230" t="s">
        <v>2359</v>
      </c>
      <c r="G1230" s="1">
        <v>7000</v>
      </c>
      <c r="H1230" t="s">
        <v>33</v>
      </c>
      <c r="I1230" t="s">
        <v>34</v>
      </c>
      <c r="J1230" s="1">
        <v>36868.92</v>
      </c>
    </row>
    <row r="1231" spans="1:10" x14ac:dyDescent="0.25">
      <c r="A1231" t="str">
        <f>"07/20/20"</f>
        <v>07/20/20</v>
      </c>
      <c r="B1231" t="s">
        <v>2360</v>
      </c>
      <c r="C1231" t="str">
        <f>"21217"</f>
        <v>21217</v>
      </c>
      <c r="D1231" t="str">
        <f>"3207 "</f>
        <v xml:space="preserve">3207 </v>
      </c>
      <c r="E1231" t="str">
        <f>"049 "</f>
        <v xml:space="preserve">049 </v>
      </c>
      <c r="F1231" t="s">
        <v>344</v>
      </c>
      <c r="G1231" s="1">
        <v>9000</v>
      </c>
      <c r="H1231" t="s">
        <v>33</v>
      </c>
      <c r="I1231" t="s">
        <v>34</v>
      </c>
      <c r="J1231" s="1">
        <v>12286.1</v>
      </c>
    </row>
    <row r="1232" spans="1:10" x14ac:dyDescent="0.25">
      <c r="A1232" t="str">
        <f>"07/20/20"</f>
        <v>07/20/20</v>
      </c>
      <c r="B1232" t="s">
        <v>2361</v>
      </c>
      <c r="C1232" t="str">
        <f>"21216"</f>
        <v>21216</v>
      </c>
      <c r="D1232" t="str">
        <f>"3013 "</f>
        <v xml:space="preserve">3013 </v>
      </c>
      <c r="E1232" t="str">
        <f>"047 "</f>
        <v xml:space="preserve">047 </v>
      </c>
      <c r="F1232" t="s">
        <v>2362</v>
      </c>
      <c r="G1232" s="1">
        <v>1000</v>
      </c>
      <c r="H1232" t="s">
        <v>14</v>
      </c>
      <c r="I1232" t="s">
        <v>15</v>
      </c>
      <c r="J1232" s="1">
        <v>6306.39</v>
      </c>
    </row>
    <row r="1233" spans="1:10" x14ac:dyDescent="0.25">
      <c r="A1233" t="str">
        <f>"07/20/20"</f>
        <v>07/20/20</v>
      </c>
      <c r="B1233" t="s">
        <v>2363</v>
      </c>
      <c r="C1233" t="str">
        <f>"21216"</f>
        <v>21216</v>
      </c>
      <c r="D1233" t="str">
        <f>"3013 "</f>
        <v xml:space="preserve">3013 </v>
      </c>
      <c r="E1233" t="str">
        <f>"048 "</f>
        <v xml:space="preserve">048 </v>
      </c>
      <c r="F1233" t="s">
        <v>2364</v>
      </c>
      <c r="G1233" s="1">
        <v>1000</v>
      </c>
      <c r="H1233" t="s">
        <v>14</v>
      </c>
      <c r="I1233" t="s">
        <v>15</v>
      </c>
      <c r="J1233" s="1">
        <v>150295.18</v>
      </c>
    </row>
    <row r="1234" spans="1:10" x14ac:dyDescent="0.25">
      <c r="A1234" t="str">
        <f>"07/20/20"</f>
        <v>07/20/20</v>
      </c>
      <c r="B1234" t="s">
        <v>2365</v>
      </c>
      <c r="C1234" t="str">
        <f>"21217"</f>
        <v>21217</v>
      </c>
      <c r="D1234" t="str">
        <f>"3208 "</f>
        <v xml:space="preserve">3208 </v>
      </c>
      <c r="E1234" t="str">
        <f>"046 "</f>
        <v xml:space="preserve">046 </v>
      </c>
      <c r="F1234" t="s">
        <v>2366</v>
      </c>
      <c r="G1234" s="1">
        <v>6000</v>
      </c>
      <c r="H1234" t="s">
        <v>33</v>
      </c>
      <c r="I1234" t="s">
        <v>34</v>
      </c>
      <c r="J1234" s="1">
        <v>9694.2900000000009</v>
      </c>
    </row>
    <row r="1235" spans="1:10" x14ac:dyDescent="0.25">
      <c r="A1235" t="str">
        <f>"07/20/20"</f>
        <v>07/20/20</v>
      </c>
      <c r="B1235" t="s">
        <v>2367</v>
      </c>
      <c r="C1235" t="str">
        <f>"21216"</f>
        <v>21216</v>
      </c>
      <c r="D1235" t="str">
        <f>"3005 "</f>
        <v xml:space="preserve">3005 </v>
      </c>
      <c r="E1235" t="str">
        <f>"034 "</f>
        <v xml:space="preserve">034 </v>
      </c>
      <c r="F1235" t="s">
        <v>2368</v>
      </c>
      <c r="G1235" s="1">
        <v>1000</v>
      </c>
      <c r="H1235" t="s">
        <v>30</v>
      </c>
      <c r="I1235" t="s">
        <v>15</v>
      </c>
      <c r="J1235" s="1">
        <v>14495.87</v>
      </c>
    </row>
    <row r="1236" spans="1:10" x14ac:dyDescent="0.25">
      <c r="A1236" t="str">
        <f>"07/20/20"</f>
        <v>07/20/20</v>
      </c>
      <c r="B1236" t="s">
        <v>2369</v>
      </c>
      <c r="C1236" t="str">
        <f>"21216"</f>
        <v>21216</v>
      </c>
      <c r="D1236" t="str">
        <f>"3000 "</f>
        <v xml:space="preserve">3000 </v>
      </c>
      <c r="E1236" t="str">
        <f>"015 "</f>
        <v xml:space="preserve">015 </v>
      </c>
      <c r="F1236" t="s">
        <v>2370</v>
      </c>
      <c r="G1236" s="1">
        <v>1000</v>
      </c>
      <c r="H1236" t="s">
        <v>14</v>
      </c>
      <c r="I1236" t="s">
        <v>15</v>
      </c>
      <c r="J1236" s="1">
        <v>119465.68</v>
      </c>
    </row>
    <row r="1237" spans="1:10" x14ac:dyDescent="0.25">
      <c r="A1237" t="str">
        <f>"07/20/20"</f>
        <v>07/20/20</v>
      </c>
      <c r="B1237" t="s">
        <v>2371</v>
      </c>
      <c r="C1237" t="str">
        <f>"21215"</f>
        <v>21215</v>
      </c>
      <c r="D1237" t="str">
        <f>"3196F"</f>
        <v>3196F</v>
      </c>
      <c r="E1237" t="str">
        <f>"015 "</f>
        <v xml:space="preserve">015 </v>
      </c>
      <c r="F1237" t="s">
        <v>2372</v>
      </c>
      <c r="G1237" s="1">
        <v>1000</v>
      </c>
      <c r="H1237" t="s">
        <v>14</v>
      </c>
      <c r="I1237" t="s">
        <v>15</v>
      </c>
      <c r="J1237" s="1">
        <v>100952.28</v>
      </c>
    </row>
    <row r="1238" spans="1:10" x14ac:dyDescent="0.25">
      <c r="A1238" t="str">
        <f>"07/20/20"</f>
        <v>07/20/20</v>
      </c>
      <c r="B1238" t="s">
        <v>2373</v>
      </c>
      <c r="C1238" t="str">
        <f>"21215"</f>
        <v>21215</v>
      </c>
      <c r="D1238" t="str">
        <f>"3196 "</f>
        <v xml:space="preserve">3196 </v>
      </c>
      <c r="E1238" t="str">
        <f>"025 "</f>
        <v xml:space="preserve">025 </v>
      </c>
      <c r="F1238" t="s">
        <v>2374</v>
      </c>
      <c r="G1238" s="1">
        <v>1000</v>
      </c>
      <c r="H1238" t="s">
        <v>14</v>
      </c>
      <c r="I1238" t="s">
        <v>15</v>
      </c>
      <c r="J1238" s="1">
        <v>90469.61</v>
      </c>
    </row>
    <row r="1239" spans="1:10" x14ac:dyDescent="0.25">
      <c r="A1239" t="str">
        <f>"07/20/20"</f>
        <v>07/20/20</v>
      </c>
      <c r="B1239" t="s">
        <v>2375</v>
      </c>
      <c r="C1239" t="str">
        <f>"21230"</f>
        <v>21230</v>
      </c>
      <c r="D1239" t="str">
        <f>"0850 "</f>
        <v xml:space="preserve">0850 </v>
      </c>
      <c r="E1239" t="str">
        <f>"014 "</f>
        <v xml:space="preserve">014 </v>
      </c>
      <c r="F1239" t="s">
        <v>2376</v>
      </c>
      <c r="G1239" s="1">
        <v>80000</v>
      </c>
      <c r="H1239" t="s">
        <v>142</v>
      </c>
      <c r="I1239" t="s">
        <v>15</v>
      </c>
      <c r="J1239" s="1">
        <v>88126.87</v>
      </c>
    </row>
    <row r="1240" spans="1:10" x14ac:dyDescent="0.25">
      <c r="A1240" t="str">
        <f>"07/20/20"</f>
        <v>07/20/20</v>
      </c>
      <c r="B1240" t="s">
        <v>2377</v>
      </c>
      <c r="C1240" t="str">
        <f>"21213"</f>
        <v>21213</v>
      </c>
      <c r="D1240" t="str">
        <f>"4168 "</f>
        <v xml:space="preserve">4168 </v>
      </c>
      <c r="E1240" t="str">
        <f>"005 "</f>
        <v xml:space="preserve">005 </v>
      </c>
      <c r="F1240" t="s">
        <v>2378</v>
      </c>
      <c r="G1240" s="1">
        <v>1000</v>
      </c>
      <c r="H1240" t="s">
        <v>14</v>
      </c>
      <c r="I1240" t="s">
        <v>15</v>
      </c>
      <c r="J1240" s="1">
        <v>89914.22</v>
      </c>
    </row>
    <row r="1241" spans="1:10" x14ac:dyDescent="0.25">
      <c r="A1241" t="str">
        <f>"07/20/20"</f>
        <v>07/20/20</v>
      </c>
      <c r="B1241" t="s">
        <v>2379</v>
      </c>
      <c r="C1241" t="str">
        <f>"21213"</f>
        <v>21213</v>
      </c>
      <c r="D1241" t="str">
        <f>"4157 "</f>
        <v xml:space="preserve">4157 </v>
      </c>
      <c r="E1241" t="str">
        <f>"026 "</f>
        <v xml:space="preserve">026 </v>
      </c>
      <c r="F1241" t="s">
        <v>2380</v>
      </c>
      <c r="G1241" s="1">
        <v>21000</v>
      </c>
      <c r="H1241" t="s">
        <v>33</v>
      </c>
      <c r="I1241" t="s">
        <v>34</v>
      </c>
      <c r="J1241" s="1">
        <v>2704.93</v>
      </c>
    </row>
    <row r="1242" spans="1:10" x14ac:dyDescent="0.25">
      <c r="A1242" t="str">
        <f>"07/20/20"</f>
        <v>07/20/20</v>
      </c>
      <c r="B1242" t="s">
        <v>2381</v>
      </c>
      <c r="C1242" t="str">
        <f>"21213"</f>
        <v>21213</v>
      </c>
      <c r="D1242" t="str">
        <f>"4168 "</f>
        <v xml:space="preserve">4168 </v>
      </c>
      <c r="E1242" t="str">
        <f>"002 "</f>
        <v xml:space="preserve">002 </v>
      </c>
      <c r="F1242" t="s">
        <v>2382</v>
      </c>
      <c r="G1242" s="1">
        <v>5000</v>
      </c>
      <c r="H1242" t="s">
        <v>14</v>
      </c>
      <c r="I1242" t="s">
        <v>34</v>
      </c>
      <c r="J1242" s="1">
        <v>10434.61</v>
      </c>
    </row>
    <row r="1243" spans="1:10" x14ac:dyDescent="0.25">
      <c r="A1243" t="str">
        <f>"07/20/20"</f>
        <v>07/20/20</v>
      </c>
      <c r="B1243" t="s">
        <v>2383</v>
      </c>
      <c r="C1243" t="str">
        <f>"21213"</f>
        <v>21213</v>
      </c>
      <c r="D1243" t="str">
        <f>"4158 "</f>
        <v xml:space="preserve">4158 </v>
      </c>
      <c r="E1243" t="str">
        <f>"001 "</f>
        <v xml:space="preserve">001 </v>
      </c>
      <c r="F1243" t="s">
        <v>2384</v>
      </c>
      <c r="G1243" s="1">
        <v>5000</v>
      </c>
      <c r="H1243" t="s">
        <v>14</v>
      </c>
      <c r="I1243" t="s">
        <v>34</v>
      </c>
      <c r="J1243" s="1">
        <v>8995.9500000000007</v>
      </c>
    </row>
    <row r="1244" spans="1:10" x14ac:dyDescent="0.25">
      <c r="A1244" t="str">
        <f>"07/20/20"</f>
        <v>07/20/20</v>
      </c>
      <c r="B1244" t="s">
        <v>2385</v>
      </c>
      <c r="C1244" t="str">
        <f>"21207"</f>
        <v>21207</v>
      </c>
      <c r="D1244" t="str">
        <f>"8393N"</f>
        <v>8393N</v>
      </c>
      <c r="E1244" t="str">
        <f>"035 "</f>
        <v xml:space="preserve">035 </v>
      </c>
      <c r="F1244" t="s">
        <v>2386</v>
      </c>
      <c r="G1244" s="1">
        <v>13100</v>
      </c>
      <c r="H1244" t="s">
        <v>91</v>
      </c>
      <c r="I1244" t="s">
        <v>15</v>
      </c>
      <c r="J1244" s="1">
        <v>2125.09</v>
      </c>
    </row>
    <row r="1245" spans="1:10" x14ac:dyDescent="0.25">
      <c r="A1245" t="str">
        <f>"07/20/20"</f>
        <v>07/20/20</v>
      </c>
      <c r="B1245" t="s">
        <v>2387</v>
      </c>
      <c r="C1245" t="str">
        <f>"21217"</f>
        <v>21217</v>
      </c>
      <c r="D1245" t="str">
        <f>"0009 "</f>
        <v xml:space="preserve">0009 </v>
      </c>
      <c r="E1245" t="str">
        <f>"025 "</f>
        <v xml:space="preserve">025 </v>
      </c>
      <c r="F1245" t="s">
        <v>2388</v>
      </c>
      <c r="G1245" s="1">
        <v>6000</v>
      </c>
      <c r="H1245" t="s">
        <v>33</v>
      </c>
      <c r="I1245" t="s">
        <v>34</v>
      </c>
      <c r="J1245" s="1">
        <v>2885.21</v>
      </c>
    </row>
    <row r="1246" spans="1:10" x14ac:dyDescent="0.25">
      <c r="A1246" t="str">
        <f>"07/20/20"</f>
        <v>07/20/20</v>
      </c>
      <c r="B1246" t="s">
        <v>2389</v>
      </c>
      <c r="C1246" t="str">
        <f>"21217"</f>
        <v>21217</v>
      </c>
      <c r="D1246" t="str">
        <f>"0006 "</f>
        <v xml:space="preserve">0006 </v>
      </c>
      <c r="E1246" t="str">
        <f>"028A"</f>
        <v>028A</v>
      </c>
      <c r="F1246" t="s">
        <v>2390</v>
      </c>
      <c r="G1246" s="1">
        <v>11000</v>
      </c>
      <c r="H1246" t="s">
        <v>30</v>
      </c>
      <c r="I1246" t="s">
        <v>34</v>
      </c>
      <c r="J1246" s="1">
        <v>899.03</v>
      </c>
    </row>
    <row r="1247" spans="1:10" x14ac:dyDescent="0.25">
      <c r="A1247" t="str">
        <f>"07/20/20"</f>
        <v>07/20/20</v>
      </c>
      <c r="B1247" t="s">
        <v>2391</v>
      </c>
      <c r="C1247" t="str">
        <f>"21217"</f>
        <v>21217</v>
      </c>
      <c r="D1247" t="str">
        <f>"0004 "</f>
        <v xml:space="preserve">0004 </v>
      </c>
      <c r="E1247" t="str">
        <f>"051 "</f>
        <v xml:space="preserve">051 </v>
      </c>
      <c r="F1247" t="s">
        <v>2392</v>
      </c>
      <c r="G1247" s="1">
        <v>3000</v>
      </c>
      <c r="H1247" t="s">
        <v>33</v>
      </c>
      <c r="I1247" t="s">
        <v>15</v>
      </c>
      <c r="J1247" s="1">
        <v>7310.48</v>
      </c>
    </row>
    <row r="1248" spans="1:10" x14ac:dyDescent="0.25">
      <c r="A1248" t="str">
        <f>"07/20/20"</f>
        <v>07/20/20</v>
      </c>
      <c r="B1248" t="s">
        <v>2393</v>
      </c>
      <c r="C1248" t="str">
        <f>"21217"</f>
        <v>21217</v>
      </c>
      <c r="D1248" t="str">
        <f>"0003 "</f>
        <v xml:space="preserve">0003 </v>
      </c>
      <c r="E1248" t="str">
        <f>"055 "</f>
        <v xml:space="preserve">055 </v>
      </c>
      <c r="F1248" t="s">
        <v>2394</v>
      </c>
      <c r="G1248" s="1">
        <v>6000</v>
      </c>
      <c r="H1248" t="s">
        <v>30</v>
      </c>
      <c r="I1248" t="s">
        <v>34</v>
      </c>
      <c r="J1248" s="1">
        <v>986.02</v>
      </c>
    </row>
    <row r="1249" spans="1:10" x14ac:dyDescent="0.25">
      <c r="A1249" t="str">
        <f>"07/20/20"</f>
        <v>07/20/20</v>
      </c>
      <c r="B1249" t="s">
        <v>2395</v>
      </c>
      <c r="C1249" t="str">
        <f>"21223"</f>
        <v>21223</v>
      </c>
      <c r="D1249" t="str">
        <f>"2154 "</f>
        <v xml:space="preserve">2154 </v>
      </c>
      <c r="E1249" t="str">
        <f>"003D"</f>
        <v>003D</v>
      </c>
      <c r="F1249" t="s">
        <v>2396</v>
      </c>
      <c r="G1249" s="1">
        <v>1000</v>
      </c>
      <c r="H1249" t="s">
        <v>33</v>
      </c>
      <c r="I1249" t="s">
        <v>15</v>
      </c>
      <c r="J1249" s="1">
        <v>6215.13</v>
      </c>
    </row>
    <row r="1250" spans="1:10" x14ac:dyDescent="0.25">
      <c r="A1250" t="str">
        <f>"07/20/20"</f>
        <v>07/20/20</v>
      </c>
      <c r="B1250" t="s">
        <v>2397</v>
      </c>
      <c r="C1250" t="str">
        <f>"21218"</f>
        <v>21218</v>
      </c>
      <c r="D1250" t="str">
        <f>"3845 "</f>
        <v xml:space="preserve">3845 </v>
      </c>
      <c r="E1250" t="str">
        <f>"039 "</f>
        <v xml:space="preserve">039 </v>
      </c>
      <c r="F1250" t="s">
        <v>758</v>
      </c>
      <c r="G1250" s="1">
        <v>1000</v>
      </c>
      <c r="H1250" t="s">
        <v>33</v>
      </c>
      <c r="I1250" t="s">
        <v>15</v>
      </c>
      <c r="J1250" s="1">
        <v>167908.94</v>
      </c>
    </row>
    <row r="1251" spans="1:10" x14ac:dyDescent="0.25">
      <c r="A1251" t="str">
        <f>"07/20/20"</f>
        <v>07/20/20</v>
      </c>
      <c r="B1251" t="s">
        <v>2398</v>
      </c>
      <c r="C1251" t="str">
        <f>"21217"</f>
        <v>21217</v>
      </c>
      <c r="D1251" t="str">
        <f>"3234 "</f>
        <v xml:space="preserve">3234 </v>
      </c>
      <c r="E1251" t="str">
        <f>"021 "</f>
        <v xml:space="preserve">021 </v>
      </c>
      <c r="F1251" t="s">
        <v>2399</v>
      </c>
      <c r="G1251" s="1">
        <v>2200</v>
      </c>
      <c r="H1251" t="s">
        <v>30</v>
      </c>
      <c r="I1251" t="s">
        <v>15</v>
      </c>
      <c r="J1251" s="1">
        <v>11931.55</v>
      </c>
    </row>
    <row r="1252" spans="1:10" x14ac:dyDescent="0.25">
      <c r="A1252" t="str">
        <f>"07/20/20"</f>
        <v>07/20/20</v>
      </c>
      <c r="B1252" t="s">
        <v>2400</v>
      </c>
      <c r="C1252" t="str">
        <f>"21209"</f>
        <v>21209</v>
      </c>
      <c r="D1252" t="str">
        <f>"4706E"</f>
        <v>4706E</v>
      </c>
      <c r="E1252" t="str">
        <f>"020 "</f>
        <v xml:space="preserve">020 </v>
      </c>
      <c r="F1252" t="s">
        <v>2401</v>
      </c>
      <c r="G1252" s="1">
        <v>26200</v>
      </c>
      <c r="H1252" t="s">
        <v>2302</v>
      </c>
      <c r="I1252" t="s">
        <v>15</v>
      </c>
      <c r="J1252" s="1">
        <v>7035.23</v>
      </c>
    </row>
    <row r="1253" spans="1:10" x14ac:dyDescent="0.25">
      <c r="A1253" t="str">
        <f>"07/20/20"</f>
        <v>07/20/20</v>
      </c>
      <c r="B1253" t="s">
        <v>2402</v>
      </c>
      <c r="C1253" t="str">
        <f>"21223"</f>
        <v>21223</v>
      </c>
      <c r="D1253" t="str">
        <f>"0273 "</f>
        <v xml:space="preserve">0273 </v>
      </c>
      <c r="E1253" t="str">
        <f>"097 "</f>
        <v xml:space="preserve">097 </v>
      </c>
      <c r="F1253" t="s">
        <v>211</v>
      </c>
      <c r="G1253" s="1">
        <v>6000</v>
      </c>
      <c r="H1253" t="s">
        <v>33</v>
      </c>
      <c r="I1253" t="s">
        <v>34</v>
      </c>
      <c r="J1253" s="1">
        <v>14351.3</v>
      </c>
    </row>
    <row r="1254" spans="1:10" x14ac:dyDescent="0.25">
      <c r="A1254" t="str">
        <f>"07/20/20"</f>
        <v>07/20/20</v>
      </c>
      <c r="B1254" t="s">
        <v>2403</v>
      </c>
      <c r="C1254" t="str">
        <f>"21223"</f>
        <v>21223</v>
      </c>
      <c r="D1254" t="str">
        <f>"0272 "</f>
        <v xml:space="preserve">0272 </v>
      </c>
      <c r="E1254" t="str">
        <f>"081 "</f>
        <v xml:space="preserve">081 </v>
      </c>
      <c r="F1254" t="s">
        <v>2404</v>
      </c>
      <c r="G1254" s="1">
        <v>6000</v>
      </c>
      <c r="H1254" t="s">
        <v>33</v>
      </c>
      <c r="I1254" t="s">
        <v>34</v>
      </c>
      <c r="J1254" s="1">
        <v>3861.22</v>
      </c>
    </row>
    <row r="1255" spans="1:10" x14ac:dyDescent="0.25">
      <c r="A1255" t="str">
        <f>"07/20/20"</f>
        <v>07/20/20</v>
      </c>
      <c r="B1255" t="s">
        <v>2405</v>
      </c>
      <c r="C1255" t="str">
        <f>"21223"</f>
        <v>21223</v>
      </c>
      <c r="D1255" t="str">
        <f>"0274 "</f>
        <v xml:space="preserve">0274 </v>
      </c>
      <c r="E1255" t="str">
        <f>"074 "</f>
        <v xml:space="preserve">074 </v>
      </c>
      <c r="F1255" t="s">
        <v>2406</v>
      </c>
      <c r="G1255" s="1">
        <v>6000</v>
      </c>
      <c r="H1255" t="s">
        <v>33</v>
      </c>
      <c r="I1255" t="s">
        <v>34</v>
      </c>
      <c r="J1255" s="1">
        <v>5731.82</v>
      </c>
    </row>
    <row r="1256" spans="1:10" x14ac:dyDescent="0.25">
      <c r="A1256" t="str">
        <f>"07/20/20"</f>
        <v>07/20/20</v>
      </c>
      <c r="B1256" t="s">
        <v>2407</v>
      </c>
      <c r="C1256" t="str">
        <f>"21223"</f>
        <v>21223</v>
      </c>
      <c r="D1256" t="str">
        <f>"0274 "</f>
        <v xml:space="preserve">0274 </v>
      </c>
      <c r="E1256" t="str">
        <f>"103 "</f>
        <v xml:space="preserve">103 </v>
      </c>
      <c r="F1256" t="s">
        <v>2408</v>
      </c>
      <c r="G1256" s="1">
        <v>6000</v>
      </c>
      <c r="H1256" t="s">
        <v>33</v>
      </c>
      <c r="I1256" t="s">
        <v>34</v>
      </c>
      <c r="J1256" s="1">
        <v>10176.77</v>
      </c>
    </row>
    <row r="1257" spans="1:10" x14ac:dyDescent="0.25">
      <c r="A1257" t="str">
        <f>"07/20/20"</f>
        <v>07/20/20</v>
      </c>
      <c r="B1257" t="s">
        <v>2409</v>
      </c>
      <c r="C1257" t="str">
        <f>"21223"</f>
        <v>21223</v>
      </c>
      <c r="D1257" t="str">
        <f>"0275 "</f>
        <v xml:space="preserve">0275 </v>
      </c>
      <c r="E1257" t="str">
        <f>"131 "</f>
        <v xml:space="preserve">131 </v>
      </c>
      <c r="F1257" t="s">
        <v>2410</v>
      </c>
      <c r="G1257" s="1">
        <v>6000</v>
      </c>
      <c r="H1257" t="s">
        <v>33</v>
      </c>
      <c r="I1257" t="s">
        <v>15</v>
      </c>
      <c r="J1257" s="1">
        <v>20468.189999999999</v>
      </c>
    </row>
    <row r="1258" spans="1:10" x14ac:dyDescent="0.25">
      <c r="A1258" t="str">
        <f>"07/20/20"</f>
        <v>07/20/20</v>
      </c>
      <c r="B1258" t="s">
        <v>2411</v>
      </c>
      <c r="C1258" t="str">
        <f>"21223"</f>
        <v>21223</v>
      </c>
      <c r="D1258" t="str">
        <f>"0272 "</f>
        <v xml:space="preserve">0272 </v>
      </c>
      <c r="E1258" t="str">
        <f>"084 "</f>
        <v xml:space="preserve">084 </v>
      </c>
      <c r="F1258" t="s">
        <v>2412</v>
      </c>
      <c r="G1258" s="1">
        <v>6000</v>
      </c>
      <c r="H1258" t="s">
        <v>33</v>
      </c>
      <c r="I1258" t="s">
        <v>34</v>
      </c>
      <c r="J1258" s="1">
        <v>14568.86</v>
      </c>
    </row>
    <row r="1259" spans="1:10" x14ac:dyDescent="0.25">
      <c r="A1259" t="str">
        <f>"07/20/20"</f>
        <v>07/20/20</v>
      </c>
      <c r="B1259" t="s">
        <v>2413</v>
      </c>
      <c r="C1259" t="str">
        <f>"21223"</f>
        <v>21223</v>
      </c>
      <c r="D1259" t="str">
        <f>"0275 "</f>
        <v xml:space="preserve">0275 </v>
      </c>
      <c r="E1259" t="str">
        <f>"120 "</f>
        <v xml:space="preserve">120 </v>
      </c>
      <c r="F1259" t="s">
        <v>2414</v>
      </c>
      <c r="G1259" s="1">
        <v>6000</v>
      </c>
      <c r="H1259" t="s">
        <v>33</v>
      </c>
      <c r="I1259" t="s">
        <v>15</v>
      </c>
      <c r="J1259" s="1">
        <v>18095.59</v>
      </c>
    </row>
    <row r="1260" spans="1:10" x14ac:dyDescent="0.25">
      <c r="A1260" t="str">
        <f>"07/20/20"</f>
        <v>07/20/20</v>
      </c>
      <c r="B1260" t="s">
        <v>2415</v>
      </c>
      <c r="C1260" t="str">
        <f>"21223"</f>
        <v>21223</v>
      </c>
      <c r="D1260" t="str">
        <f>"0275 "</f>
        <v xml:space="preserve">0275 </v>
      </c>
      <c r="E1260" t="str">
        <f>"114 "</f>
        <v xml:space="preserve">114 </v>
      </c>
      <c r="F1260" t="s">
        <v>2416</v>
      </c>
      <c r="G1260" s="1">
        <v>23000</v>
      </c>
      <c r="H1260" t="s">
        <v>33</v>
      </c>
      <c r="I1260" t="s">
        <v>15</v>
      </c>
      <c r="J1260" s="1">
        <v>33454.49</v>
      </c>
    </row>
    <row r="1261" spans="1:10" x14ac:dyDescent="0.25">
      <c r="A1261" t="str">
        <f>"07/20/20"</f>
        <v>07/20/20</v>
      </c>
      <c r="B1261" t="s">
        <v>2417</v>
      </c>
      <c r="C1261" t="str">
        <f>"21223"</f>
        <v>21223</v>
      </c>
      <c r="D1261" t="str">
        <f>"0697 "</f>
        <v xml:space="preserve">0697 </v>
      </c>
      <c r="E1261" t="str">
        <f>"014 "</f>
        <v xml:space="preserve">014 </v>
      </c>
      <c r="F1261" t="s">
        <v>2404</v>
      </c>
      <c r="G1261" s="1">
        <v>6000</v>
      </c>
      <c r="H1261" t="s">
        <v>33</v>
      </c>
      <c r="I1261" t="s">
        <v>34</v>
      </c>
      <c r="J1261" s="1">
        <v>1731.46</v>
      </c>
    </row>
    <row r="1262" spans="1:10" x14ac:dyDescent="0.25">
      <c r="A1262" t="str">
        <f>"07/20/20"</f>
        <v>07/20/20</v>
      </c>
      <c r="B1262" t="s">
        <v>2418</v>
      </c>
      <c r="C1262" t="str">
        <f>"21223"</f>
        <v>21223</v>
      </c>
      <c r="D1262" t="str">
        <f>"0696 "</f>
        <v xml:space="preserve">0696 </v>
      </c>
      <c r="E1262" t="str">
        <f>"030 "</f>
        <v xml:space="preserve">030 </v>
      </c>
      <c r="F1262" t="s">
        <v>599</v>
      </c>
      <c r="G1262" s="1">
        <v>1000</v>
      </c>
      <c r="H1262" t="s">
        <v>33</v>
      </c>
      <c r="I1262" t="s">
        <v>15</v>
      </c>
      <c r="J1262" s="1">
        <v>359487.24</v>
      </c>
    </row>
    <row r="1263" spans="1:10" x14ac:dyDescent="0.25">
      <c r="A1263" t="str">
        <f>"07/20/20"</f>
        <v>07/20/20</v>
      </c>
      <c r="B1263" t="s">
        <v>2419</v>
      </c>
      <c r="C1263" t="str">
        <f>"21223"</f>
        <v>21223</v>
      </c>
      <c r="D1263" t="str">
        <f>"0699 "</f>
        <v xml:space="preserve">0699 </v>
      </c>
      <c r="E1263" t="str">
        <f>"017 "</f>
        <v xml:space="preserve">017 </v>
      </c>
      <c r="F1263" t="s">
        <v>2420</v>
      </c>
      <c r="G1263" s="1">
        <v>1000</v>
      </c>
      <c r="H1263" t="s">
        <v>33</v>
      </c>
      <c r="I1263" t="s">
        <v>15</v>
      </c>
      <c r="J1263" s="1">
        <v>126863.36</v>
      </c>
    </row>
    <row r="1264" spans="1:10" x14ac:dyDescent="0.25">
      <c r="A1264" t="str">
        <f>"07/20/20"</f>
        <v>07/20/20</v>
      </c>
      <c r="B1264" t="s">
        <v>2421</v>
      </c>
      <c r="C1264" t="str">
        <f>"21223"</f>
        <v>21223</v>
      </c>
      <c r="D1264" t="str">
        <f>"0291 "</f>
        <v xml:space="preserve">0291 </v>
      </c>
      <c r="E1264" t="str">
        <f>"067 "</f>
        <v xml:space="preserve">067 </v>
      </c>
      <c r="F1264" t="s">
        <v>2422</v>
      </c>
      <c r="G1264" s="1">
        <v>34000</v>
      </c>
      <c r="H1264" t="s">
        <v>33</v>
      </c>
      <c r="I1264" t="s">
        <v>34</v>
      </c>
      <c r="J1264" s="1">
        <v>89269.91</v>
      </c>
    </row>
    <row r="1265" spans="1:10" x14ac:dyDescent="0.25">
      <c r="A1265" t="str">
        <f>"07/20/20"</f>
        <v>07/20/20</v>
      </c>
      <c r="B1265" t="s">
        <v>2423</v>
      </c>
      <c r="C1265" t="str">
        <f>"21223"</f>
        <v>21223</v>
      </c>
      <c r="D1265" t="str">
        <f>"0291 "</f>
        <v xml:space="preserve">0291 </v>
      </c>
      <c r="E1265" t="str">
        <f>"057 "</f>
        <v xml:space="preserve">057 </v>
      </c>
      <c r="F1265" t="s">
        <v>2424</v>
      </c>
      <c r="G1265" s="1">
        <v>6000</v>
      </c>
      <c r="H1265" t="s">
        <v>33</v>
      </c>
      <c r="I1265" t="s">
        <v>34</v>
      </c>
      <c r="J1265" s="1">
        <v>55358.68</v>
      </c>
    </row>
    <row r="1266" spans="1:10" x14ac:dyDescent="0.25">
      <c r="A1266" t="str">
        <f>"07/20/20"</f>
        <v>07/20/20</v>
      </c>
      <c r="B1266" t="s">
        <v>2425</v>
      </c>
      <c r="C1266" t="str">
        <f>"21223"</f>
        <v>21223</v>
      </c>
      <c r="D1266" t="str">
        <f>"0706 "</f>
        <v xml:space="preserve">0706 </v>
      </c>
      <c r="E1266" t="str">
        <f>"012 "</f>
        <v xml:space="preserve">012 </v>
      </c>
      <c r="F1266" t="s">
        <v>2426</v>
      </c>
      <c r="G1266" s="1">
        <v>38000</v>
      </c>
      <c r="H1266" t="s">
        <v>33</v>
      </c>
      <c r="I1266" t="s">
        <v>15</v>
      </c>
      <c r="J1266" s="1">
        <v>15341.49</v>
      </c>
    </row>
    <row r="1267" spans="1:10" x14ac:dyDescent="0.25">
      <c r="A1267" t="str">
        <f>"07/20/20"</f>
        <v>07/20/20</v>
      </c>
      <c r="B1267" t="s">
        <v>2427</v>
      </c>
      <c r="C1267" t="str">
        <f>"21223"</f>
        <v>21223</v>
      </c>
      <c r="D1267" t="str">
        <f>"0704 "</f>
        <v xml:space="preserve">0704 </v>
      </c>
      <c r="E1267" t="str">
        <f>"009 "</f>
        <v xml:space="preserve">009 </v>
      </c>
      <c r="F1267" t="s">
        <v>2428</v>
      </c>
      <c r="G1267" s="1">
        <v>6000</v>
      </c>
      <c r="H1267" t="s">
        <v>33</v>
      </c>
      <c r="I1267" t="s">
        <v>34</v>
      </c>
      <c r="J1267" s="1">
        <v>125087.07</v>
      </c>
    </row>
    <row r="1268" spans="1:10" x14ac:dyDescent="0.25">
      <c r="A1268" t="str">
        <f>"07/20/20"</f>
        <v>07/20/20</v>
      </c>
      <c r="B1268" t="s">
        <v>2429</v>
      </c>
      <c r="C1268" t="str">
        <f>"21223"</f>
        <v>21223</v>
      </c>
      <c r="D1268" t="str">
        <f>"2107A"</f>
        <v>2107A</v>
      </c>
      <c r="E1268" t="str">
        <f>"002G"</f>
        <v>002G</v>
      </c>
      <c r="F1268" t="s">
        <v>2430</v>
      </c>
      <c r="G1268" s="1">
        <v>19000</v>
      </c>
      <c r="H1268" t="s">
        <v>33</v>
      </c>
      <c r="I1268" t="s">
        <v>15</v>
      </c>
      <c r="J1268" s="1">
        <v>57007.519999999997</v>
      </c>
    </row>
    <row r="1269" spans="1:10" x14ac:dyDescent="0.25">
      <c r="A1269" t="str">
        <f>"07/20/20"</f>
        <v>07/20/20</v>
      </c>
      <c r="B1269" t="s">
        <v>2431</v>
      </c>
      <c r="C1269" t="str">
        <f>"21223"</f>
        <v>21223</v>
      </c>
      <c r="D1269" t="str">
        <f>"2173 "</f>
        <v xml:space="preserve">2173 </v>
      </c>
      <c r="E1269" t="str">
        <f>"025 "</f>
        <v xml:space="preserve">025 </v>
      </c>
      <c r="F1269" t="s">
        <v>2432</v>
      </c>
      <c r="G1269" s="1">
        <v>36200</v>
      </c>
      <c r="H1269" t="s">
        <v>661</v>
      </c>
      <c r="I1269" t="s">
        <v>15</v>
      </c>
      <c r="J1269" s="1">
        <v>6976.06</v>
      </c>
    </row>
    <row r="1270" spans="1:10" x14ac:dyDescent="0.25">
      <c r="A1270" t="str">
        <f>"07/20/20"</f>
        <v>07/20/20</v>
      </c>
      <c r="B1270" t="s">
        <v>2433</v>
      </c>
      <c r="C1270" t="str">
        <f>"21223"</f>
        <v>21223</v>
      </c>
      <c r="D1270" t="str">
        <f>"2173 "</f>
        <v xml:space="preserve">2173 </v>
      </c>
      <c r="E1270" t="str">
        <f>"027 "</f>
        <v xml:space="preserve">027 </v>
      </c>
      <c r="F1270" t="s">
        <v>2434</v>
      </c>
      <c r="G1270" s="1">
        <v>1000</v>
      </c>
      <c r="H1270" t="s">
        <v>661</v>
      </c>
      <c r="I1270" t="s">
        <v>15</v>
      </c>
      <c r="J1270" s="1">
        <v>10189.219999999999</v>
      </c>
    </row>
    <row r="1271" spans="1:10" x14ac:dyDescent="0.25">
      <c r="A1271" t="str">
        <f>"07/20/20"</f>
        <v>07/20/20</v>
      </c>
      <c r="B1271" t="s">
        <v>2435</v>
      </c>
      <c r="C1271" t="str">
        <f>"21218"</f>
        <v>21218</v>
      </c>
      <c r="D1271" t="str">
        <f>"3913A"</f>
        <v>3913A</v>
      </c>
      <c r="E1271" t="str">
        <f>"001 "</f>
        <v xml:space="preserve">001 </v>
      </c>
      <c r="F1271" t="s">
        <v>2436</v>
      </c>
      <c r="G1271" s="1">
        <v>38000</v>
      </c>
      <c r="H1271" t="s">
        <v>30</v>
      </c>
      <c r="I1271" t="s">
        <v>34</v>
      </c>
      <c r="J1271" s="1">
        <v>24089.69</v>
      </c>
    </row>
    <row r="1272" spans="1:10" x14ac:dyDescent="0.25">
      <c r="A1272" t="str">
        <f>"07/20/20"</f>
        <v>07/20/20</v>
      </c>
      <c r="B1272" t="s">
        <v>2437</v>
      </c>
      <c r="C1272" t="str">
        <f>"21216"</f>
        <v>21216</v>
      </c>
      <c r="D1272" t="str">
        <f>"2444 "</f>
        <v xml:space="preserve">2444 </v>
      </c>
      <c r="E1272" t="str">
        <f>"018 "</f>
        <v xml:space="preserve">018 </v>
      </c>
      <c r="F1272" t="s">
        <v>2438</v>
      </c>
      <c r="G1272" s="1">
        <v>29000</v>
      </c>
      <c r="H1272" t="s">
        <v>14</v>
      </c>
      <c r="I1272" t="s">
        <v>34</v>
      </c>
      <c r="J1272" s="1">
        <v>31582.1</v>
      </c>
    </row>
    <row r="1273" spans="1:10" x14ac:dyDescent="0.25">
      <c r="A1273" t="str">
        <f>"07/20/20"</f>
        <v>07/20/20</v>
      </c>
      <c r="B1273" t="s">
        <v>2439</v>
      </c>
      <c r="C1273" t="str">
        <f>"21216"</f>
        <v>21216</v>
      </c>
      <c r="D1273" t="str">
        <f>"2444 "</f>
        <v xml:space="preserve">2444 </v>
      </c>
      <c r="E1273" t="str">
        <f>"015 "</f>
        <v xml:space="preserve">015 </v>
      </c>
      <c r="F1273" t="s">
        <v>2440</v>
      </c>
      <c r="G1273" s="1">
        <v>29000</v>
      </c>
      <c r="H1273" t="s">
        <v>14</v>
      </c>
      <c r="I1273" t="s">
        <v>34</v>
      </c>
      <c r="J1273" s="1">
        <v>39186.47</v>
      </c>
    </row>
    <row r="1274" spans="1:10" x14ac:dyDescent="0.25">
      <c r="A1274" t="str">
        <f>"07/20/20"</f>
        <v>07/20/20</v>
      </c>
      <c r="B1274" t="s">
        <v>2441</v>
      </c>
      <c r="C1274" t="str">
        <f>"21216"</f>
        <v>21216</v>
      </c>
      <c r="D1274" t="str">
        <f>"3022 "</f>
        <v xml:space="preserve">3022 </v>
      </c>
      <c r="E1274" t="str">
        <f>"005 "</f>
        <v xml:space="preserve">005 </v>
      </c>
      <c r="F1274" t="s">
        <v>2442</v>
      </c>
      <c r="G1274" s="1">
        <v>8100</v>
      </c>
      <c r="H1274" t="s">
        <v>14</v>
      </c>
      <c r="I1274" t="s">
        <v>15</v>
      </c>
      <c r="J1274" s="1">
        <v>6551.18</v>
      </c>
    </row>
    <row r="1275" spans="1:10" x14ac:dyDescent="0.25">
      <c r="A1275" t="str">
        <f>"07/20/20"</f>
        <v>07/20/20</v>
      </c>
      <c r="B1275" t="s">
        <v>2443</v>
      </c>
      <c r="C1275" t="str">
        <f>"21216"</f>
        <v>21216</v>
      </c>
      <c r="D1275" t="str">
        <f>"3035 "</f>
        <v xml:space="preserve">3035 </v>
      </c>
      <c r="E1275" t="str">
        <f>"008 "</f>
        <v xml:space="preserve">008 </v>
      </c>
      <c r="F1275" t="s">
        <v>2444</v>
      </c>
      <c r="G1275" s="1">
        <v>23400</v>
      </c>
      <c r="H1275" t="s">
        <v>91</v>
      </c>
      <c r="I1275" t="s">
        <v>15</v>
      </c>
      <c r="J1275" s="1">
        <v>22271.52</v>
      </c>
    </row>
    <row r="1276" spans="1:10" x14ac:dyDescent="0.25">
      <c r="A1276" t="str">
        <f>"07/20/20"</f>
        <v>07/20/20</v>
      </c>
      <c r="B1276" t="s">
        <v>2445</v>
      </c>
      <c r="C1276" t="str">
        <f>"21216"</f>
        <v>21216</v>
      </c>
      <c r="D1276" t="str">
        <f>"2432 "</f>
        <v xml:space="preserve">2432 </v>
      </c>
      <c r="E1276" t="str">
        <f>"012C"</f>
        <v>012C</v>
      </c>
      <c r="F1276" t="s">
        <v>2446</v>
      </c>
      <c r="G1276" s="1">
        <v>25000</v>
      </c>
      <c r="H1276" t="s">
        <v>14</v>
      </c>
      <c r="I1276" t="s">
        <v>15</v>
      </c>
      <c r="J1276" s="1">
        <v>13138.81</v>
      </c>
    </row>
    <row r="1277" spans="1:10" x14ac:dyDescent="0.25">
      <c r="A1277" t="str">
        <f>"07/20/20"</f>
        <v>07/20/20</v>
      </c>
      <c r="B1277" t="s">
        <v>2447</v>
      </c>
      <c r="C1277" t="str">
        <f>"21213"</f>
        <v>21213</v>
      </c>
      <c r="D1277" t="str">
        <f>"4164B"</f>
        <v>4164B</v>
      </c>
      <c r="E1277" t="str">
        <f>"031 "</f>
        <v xml:space="preserve">031 </v>
      </c>
      <c r="F1277" t="s">
        <v>2448</v>
      </c>
      <c r="G1277" s="1">
        <v>5000</v>
      </c>
      <c r="H1277" t="s">
        <v>33</v>
      </c>
      <c r="I1277" t="s">
        <v>34</v>
      </c>
      <c r="J1277" s="1">
        <v>15417.17</v>
      </c>
    </row>
    <row r="1278" spans="1:10" x14ac:dyDescent="0.25">
      <c r="A1278" t="str">
        <f>"07/20/20"</f>
        <v>07/20/20</v>
      </c>
      <c r="B1278" t="s">
        <v>2449</v>
      </c>
      <c r="C1278" t="str">
        <f>"21215"</f>
        <v>21215</v>
      </c>
      <c r="D1278" t="str">
        <f>"4616 "</f>
        <v xml:space="preserve">4616 </v>
      </c>
      <c r="E1278" t="str">
        <f>"020 "</f>
        <v xml:space="preserve">020 </v>
      </c>
      <c r="F1278" t="s">
        <v>2450</v>
      </c>
      <c r="G1278" s="1">
        <v>5000</v>
      </c>
      <c r="H1278" t="s">
        <v>74</v>
      </c>
      <c r="I1278" t="s">
        <v>34</v>
      </c>
      <c r="J1278" s="1">
        <v>32124.9</v>
      </c>
    </row>
    <row r="1279" spans="1:10" x14ac:dyDescent="0.25">
      <c r="A1279" t="str">
        <f>"07/20/20"</f>
        <v>07/20/20</v>
      </c>
      <c r="B1279" t="s">
        <v>2451</v>
      </c>
      <c r="C1279" t="str">
        <f>"21215"</f>
        <v>21215</v>
      </c>
      <c r="D1279" t="str">
        <f>"4793 "</f>
        <v xml:space="preserve">4793 </v>
      </c>
      <c r="E1279" t="str">
        <f>"005 "</f>
        <v xml:space="preserve">005 </v>
      </c>
      <c r="F1279" t="s">
        <v>2452</v>
      </c>
      <c r="G1279" s="1">
        <v>41700</v>
      </c>
      <c r="H1279" t="s">
        <v>137</v>
      </c>
      <c r="I1279" t="s">
        <v>15</v>
      </c>
      <c r="J1279" s="1">
        <v>11874.07</v>
      </c>
    </row>
    <row r="1280" spans="1:10" x14ac:dyDescent="0.25">
      <c r="A1280" t="str">
        <f>"07/20/20"</f>
        <v>07/20/20</v>
      </c>
      <c r="B1280" t="s">
        <v>2453</v>
      </c>
      <c r="C1280" t="str">
        <f>"21206"</f>
        <v>21206</v>
      </c>
      <c r="D1280" t="str">
        <f>"5947 "</f>
        <v xml:space="preserve">5947 </v>
      </c>
      <c r="E1280" t="str">
        <f>"002 "</f>
        <v xml:space="preserve">002 </v>
      </c>
      <c r="F1280" t="s">
        <v>2454</v>
      </c>
      <c r="G1280" s="1">
        <v>36300</v>
      </c>
      <c r="H1280" t="s">
        <v>137</v>
      </c>
      <c r="I1280" t="s">
        <v>15</v>
      </c>
      <c r="J1280" s="1">
        <v>4558.53</v>
      </c>
    </row>
    <row r="1281" spans="1:10" x14ac:dyDescent="0.25">
      <c r="A1281" t="str">
        <f>"07/20/20"</f>
        <v>07/20/20</v>
      </c>
      <c r="B1281" t="s">
        <v>2455</v>
      </c>
      <c r="C1281" t="str">
        <f>"21215"</f>
        <v>21215</v>
      </c>
      <c r="D1281" t="str">
        <f>"4591 "</f>
        <v xml:space="preserve">4591 </v>
      </c>
      <c r="E1281" t="str">
        <f>"008 "</f>
        <v xml:space="preserve">008 </v>
      </c>
      <c r="F1281" t="s">
        <v>2456</v>
      </c>
      <c r="G1281" s="1">
        <v>40000</v>
      </c>
      <c r="H1281" t="s">
        <v>14</v>
      </c>
      <c r="I1281" t="s">
        <v>34</v>
      </c>
      <c r="J1281" s="1">
        <v>22403.37</v>
      </c>
    </row>
    <row r="1282" spans="1:10" x14ac:dyDescent="0.25">
      <c r="A1282" t="str">
        <f>"07/20/20"</f>
        <v>07/20/20</v>
      </c>
      <c r="B1282" t="s">
        <v>2457</v>
      </c>
      <c r="C1282" t="str">
        <f>"21212"</f>
        <v>21212</v>
      </c>
      <c r="D1282" t="str">
        <f>"5200 "</f>
        <v xml:space="preserve">5200 </v>
      </c>
      <c r="E1282" t="str">
        <f>"018 "</f>
        <v xml:space="preserve">018 </v>
      </c>
      <c r="F1282" t="s">
        <v>2458</v>
      </c>
      <c r="G1282" s="1">
        <v>15900</v>
      </c>
      <c r="H1282" t="s">
        <v>30</v>
      </c>
      <c r="I1282" t="s">
        <v>34</v>
      </c>
      <c r="J1282" s="1">
        <v>11639.38</v>
      </c>
    </row>
    <row r="1283" spans="1:10" x14ac:dyDescent="0.25">
      <c r="A1283" t="str">
        <f>"07/20/20"</f>
        <v>07/20/20</v>
      </c>
      <c r="B1283" t="s">
        <v>2459</v>
      </c>
      <c r="C1283" t="str">
        <f>"21212"</f>
        <v>21212</v>
      </c>
      <c r="D1283" t="str">
        <f>"5200 "</f>
        <v xml:space="preserve">5200 </v>
      </c>
      <c r="E1283" t="str">
        <f>"006 "</f>
        <v xml:space="preserve">006 </v>
      </c>
      <c r="F1283" t="s">
        <v>2460</v>
      </c>
      <c r="G1283" s="1">
        <v>10400</v>
      </c>
      <c r="H1283" t="s">
        <v>91</v>
      </c>
      <c r="I1283" t="s">
        <v>15</v>
      </c>
      <c r="J1283" s="1">
        <v>142926.43</v>
      </c>
    </row>
    <row r="1284" spans="1:10" x14ac:dyDescent="0.25">
      <c r="A1284" t="str">
        <f>"07/20/20"</f>
        <v>07/20/20</v>
      </c>
      <c r="B1284" t="s">
        <v>2461</v>
      </c>
      <c r="C1284" t="str">
        <f>"21212"</f>
        <v>21212</v>
      </c>
      <c r="D1284" t="str">
        <f>"5197 "</f>
        <v xml:space="preserve">5197 </v>
      </c>
      <c r="E1284" t="str">
        <f>"029 "</f>
        <v xml:space="preserve">029 </v>
      </c>
      <c r="F1284" t="s">
        <v>2462</v>
      </c>
      <c r="G1284" s="1">
        <v>8700</v>
      </c>
      <c r="H1284" t="s">
        <v>91</v>
      </c>
      <c r="I1284" t="s">
        <v>15</v>
      </c>
      <c r="J1284" s="1">
        <v>53026.7</v>
      </c>
    </row>
    <row r="1285" spans="1:10" x14ac:dyDescent="0.25">
      <c r="A1285" t="str">
        <f>"07/20/20"</f>
        <v>07/20/20</v>
      </c>
      <c r="B1285" t="s">
        <v>2463</v>
      </c>
      <c r="C1285" t="str">
        <f>"    0"</f>
        <v xml:space="preserve">    0</v>
      </c>
      <c r="D1285" t="str">
        <f>"0049 "</f>
        <v xml:space="preserve">0049 </v>
      </c>
      <c r="E1285" t="str">
        <f>"065 "</f>
        <v xml:space="preserve">065 </v>
      </c>
      <c r="F1285" t="s">
        <v>2464</v>
      </c>
      <c r="G1285" s="1">
        <v>1900</v>
      </c>
      <c r="H1285" t="s">
        <v>661</v>
      </c>
      <c r="I1285" t="s">
        <v>15</v>
      </c>
      <c r="J1285" s="1">
        <v>1130.3800000000001</v>
      </c>
    </row>
    <row r="1286" spans="1:10" x14ac:dyDescent="0.25">
      <c r="A1286" t="str">
        <f>"07/20/20"</f>
        <v>07/20/20</v>
      </c>
      <c r="B1286" t="s">
        <v>2465</v>
      </c>
      <c r="C1286" t="str">
        <f>"    0"</f>
        <v xml:space="preserve">    0</v>
      </c>
      <c r="D1286" t="str">
        <f>"7839 "</f>
        <v xml:space="preserve">7839 </v>
      </c>
      <c r="E1286" t="str">
        <f>"011 "</f>
        <v xml:space="preserve">011 </v>
      </c>
      <c r="F1286" t="s">
        <v>2466</v>
      </c>
      <c r="G1286" s="1">
        <v>1700</v>
      </c>
      <c r="H1286" t="s">
        <v>137</v>
      </c>
      <c r="I1286" t="s">
        <v>15</v>
      </c>
      <c r="J1286" s="1">
        <v>1942.06</v>
      </c>
    </row>
    <row r="1287" spans="1:10" x14ac:dyDescent="0.25">
      <c r="A1287" t="str">
        <f>"07/20/20"</f>
        <v>07/20/20</v>
      </c>
      <c r="B1287" t="s">
        <v>2467</v>
      </c>
      <c r="C1287" t="str">
        <f>"AV  0"</f>
        <v>AV  0</v>
      </c>
      <c r="D1287" t="str">
        <f>"7839 "</f>
        <v xml:space="preserve">7839 </v>
      </c>
      <c r="E1287" t="str">
        <f>"010 "</f>
        <v xml:space="preserve">010 </v>
      </c>
      <c r="F1287" t="s">
        <v>2466</v>
      </c>
      <c r="G1287" s="1">
        <v>2300</v>
      </c>
      <c r="H1287" t="s">
        <v>137</v>
      </c>
      <c r="I1287" t="s">
        <v>15</v>
      </c>
      <c r="J1287" s="1">
        <v>2387.12</v>
      </c>
    </row>
    <row r="1288" spans="1:10" x14ac:dyDescent="0.25">
      <c r="A1288" t="str">
        <f>"07/20/20"</f>
        <v>07/20/20</v>
      </c>
      <c r="B1288" t="s">
        <v>2468</v>
      </c>
      <c r="C1288" t="str">
        <f>"ORTO5"</f>
        <v>ORTO5</v>
      </c>
      <c r="D1288" t="str">
        <f>"2880 "</f>
        <v xml:space="preserve">2880 </v>
      </c>
      <c r="E1288" t="str">
        <f>"020 "</f>
        <v xml:space="preserve">020 </v>
      </c>
      <c r="F1288" t="s">
        <v>2469</v>
      </c>
      <c r="G1288" s="1">
        <v>4300</v>
      </c>
      <c r="H1288" t="s">
        <v>137</v>
      </c>
      <c r="I1288" t="s">
        <v>15</v>
      </c>
      <c r="J1288" s="1">
        <v>3349.42</v>
      </c>
    </row>
    <row r="1289" spans="1:10" x14ac:dyDescent="0.25">
      <c r="A1289" t="str">
        <f>"07/20/20"</f>
        <v>07/20/20</v>
      </c>
      <c r="B1289" t="s">
        <v>2470</v>
      </c>
      <c r="C1289" t="str">
        <f>"ING 3"</f>
        <v>ING 3</v>
      </c>
      <c r="D1289" t="str">
        <f>"3949D"</f>
        <v>3949D</v>
      </c>
      <c r="E1289" t="str">
        <f>"001 "</f>
        <v xml:space="preserve">001 </v>
      </c>
      <c r="F1289" t="s">
        <v>2471</v>
      </c>
      <c r="G1289" s="1">
        <v>5200</v>
      </c>
      <c r="H1289" t="s">
        <v>137</v>
      </c>
      <c r="I1289" t="s">
        <v>15</v>
      </c>
      <c r="J1289" s="1">
        <v>524.22</v>
      </c>
    </row>
    <row r="1290" spans="1:10" x14ac:dyDescent="0.25">
      <c r="A1290" t="str">
        <f>"07/20/20"</f>
        <v>07/20/20</v>
      </c>
      <c r="B1290" t="s">
        <v>2472</v>
      </c>
      <c r="C1290" t="str">
        <f>" AVE0"</f>
        <v xml:space="preserve"> AVE0</v>
      </c>
      <c r="D1290" t="str">
        <f>"2800 "</f>
        <v xml:space="preserve">2800 </v>
      </c>
      <c r="E1290" t="str">
        <f>"001 "</f>
        <v xml:space="preserve">001 </v>
      </c>
      <c r="F1290" t="s">
        <v>2473</v>
      </c>
      <c r="G1290" s="1">
        <v>0</v>
      </c>
      <c r="H1290" t="s">
        <v>14</v>
      </c>
      <c r="I1290" t="s">
        <v>15</v>
      </c>
      <c r="J1290" s="1">
        <v>7705.02</v>
      </c>
    </row>
    <row r="1291" spans="1:10" x14ac:dyDescent="0.25">
      <c r="A1291" t="str">
        <f>"07/20/20"</f>
        <v>07/20/20</v>
      </c>
      <c r="B1291" t="s">
        <v>2474</v>
      </c>
      <c r="C1291" t="str">
        <f>"    0"</f>
        <v xml:space="preserve">    0</v>
      </c>
      <c r="D1291" t="str">
        <f>"7231 "</f>
        <v xml:space="preserve">7231 </v>
      </c>
      <c r="E1291" t="str">
        <f>"085 "</f>
        <v xml:space="preserve">085 </v>
      </c>
      <c r="F1291" t="s">
        <v>2475</v>
      </c>
      <c r="G1291" s="1">
        <v>12400</v>
      </c>
      <c r="H1291" t="s">
        <v>14</v>
      </c>
      <c r="I1291" t="s">
        <v>15</v>
      </c>
      <c r="J1291" s="1">
        <v>532.67999999999995</v>
      </c>
    </row>
    <row r="1292" spans="1:10" x14ac:dyDescent="0.25">
      <c r="A1292" t="str">
        <f>"07/20/20"</f>
        <v>07/20/20</v>
      </c>
      <c r="B1292" t="s">
        <v>2476</v>
      </c>
      <c r="C1292" t="str">
        <f>"NCLA9"</f>
        <v>NCLA9</v>
      </c>
      <c r="D1292" t="str">
        <f>"4199 "</f>
        <v xml:space="preserve">4199 </v>
      </c>
      <c r="E1292" t="str">
        <f>"003B"</f>
        <v>003B</v>
      </c>
      <c r="F1292" t="s">
        <v>2477</v>
      </c>
      <c r="G1292" s="1">
        <v>36100</v>
      </c>
      <c r="H1292" t="s">
        <v>2162</v>
      </c>
      <c r="I1292" t="s">
        <v>34</v>
      </c>
      <c r="J1292" s="1">
        <v>1938.58</v>
      </c>
    </row>
    <row r="1293" spans="1:10" x14ac:dyDescent="0.25">
      <c r="A1293" t="str">
        <f>"07/20/20"</f>
        <v>07/20/20</v>
      </c>
      <c r="B1293" t="s">
        <v>2478</v>
      </c>
      <c r="C1293" t="str">
        <f>"ORE 2"</f>
        <v>ORE 2</v>
      </c>
      <c r="D1293" t="str">
        <f>"1735 "</f>
        <v xml:space="preserve">1735 </v>
      </c>
      <c r="E1293" t="str">
        <f>"026A"</f>
        <v>026A</v>
      </c>
      <c r="F1293" t="s">
        <v>2479</v>
      </c>
      <c r="G1293" s="1">
        <v>60000</v>
      </c>
      <c r="H1293" t="s">
        <v>33</v>
      </c>
      <c r="I1293" t="s">
        <v>15</v>
      </c>
      <c r="J1293" s="1">
        <v>91948.71</v>
      </c>
    </row>
    <row r="1294" spans="1:10" x14ac:dyDescent="0.25">
      <c r="A1294" t="str">
        <f>"07/20/20"</f>
        <v>07/20/20</v>
      </c>
      <c r="B1294" t="s">
        <v>2480</v>
      </c>
      <c r="C1294" t="str">
        <f>"19170"</f>
        <v>19170</v>
      </c>
      <c r="D1294" t="str">
        <f>"4007 "</f>
        <v xml:space="preserve">4007 </v>
      </c>
      <c r="E1294" t="str">
        <f>"043 "</f>
        <v xml:space="preserve">043 </v>
      </c>
      <c r="F1294" t="s">
        <v>2481</v>
      </c>
      <c r="G1294" s="1">
        <v>1000</v>
      </c>
      <c r="H1294" t="s">
        <v>33</v>
      </c>
      <c r="I1294" t="s">
        <v>15</v>
      </c>
      <c r="J1294" s="1">
        <v>1947.5</v>
      </c>
    </row>
    <row r="1295" spans="1:10" x14ac:dyDescent="0.25">
      <c r="A1295" t="str">
        <f>"07/20/20"</f>
        <v>07/20/20</v>
      </c>
      <c r="B1295" t="s">
        <v>2482</v>
      </c>
      <c r="C1295" t="str">
        <f>"84 F3"</f>
        <v>84 F3</v>
      </c>
      <c r="D1295" t="str">
        <f>"2486 "</f>
        <v xml:space="preserve">2486 </v>
      </c>
      <c r="E1295" t="str">
        <f>"060 "</f>
        <v xml:space="preserve">060 </v>
      </c>
      <c r="F1295" t="s">
        <v>2483</v>
      </c>
      <c r="G1295" s="1">
        <v>1300</v>
      </c>
      <c r="H1295" t="s">
        <v>14</v>
      </c>
      <c r="I1295" t="s">
        <v>15</v>
      </c>
      <c r="J1295" s="1">
        <v>619.4</v>
      </c>
    </row>
    <row r="1296" spans="1:10" x14ac:dyDescent="0.25">
      <c r="A1296" t="str">
        <f>"07/20/20"</f>
        <v>07/20/20</v>
      </c>
      <c r="B1296" t="s">
        <v>2484</v>
      </c>
      <c r="C1296" t="str">
        <f>"187-3"</f>
        <v>187-3</v>
      </c>
      <c r="D1296" t="str">
        <f>"2487 "</f>
        <v xml:space="preserve">2487 </v>
      </c>
      <c r="E1296" t="str">
        <f>"064 "</f>
        <v xml:space="preserve">064 </v>
      </c>
      <c r="F1296" t="s">
        <v>2485</v>
      </c>
      <c r="G1296" s="1">
        <v>300</v>
      </c>
      <c r="H1296" t="s">
        <v>14</v>
      </c>
      <c r="I1296" t="s">
        <v>15</v>
      </c>
      <c r="J1296" s="1">
        <v>2609.0500000000002</v>
      </c>
    </row>
    <row r="1297" spans="1:10" x14ac:dyDescent="0.25">
      <c r="A1297" t="str">
        <f>"07/20/20"</f>
        <v>07/20/20</v>
      </c>
      <c r="B1297" t="s">
        <v>2484</v>
      </c>
      <c r="C1297" t="str">
        <f>"177-1"</f>
        <v>177-1</v>
      </c>
      <c r="D1297" t="str">
        <f>"2487 "</f>
        <v xml:space="preserve">2487 </v>
      </c>
      <c r="E1297" t="str">
        <f>"065 "</f>
        <v xml:space="preserve">065 </v>
      </c>
      <c r="F1297" t="s">
        <v>2486</v>
      </c>
      <c r="G1297" s="1">
        <v>300</v>
      </c>
      <c r="H1297" t="s">
        <v>14</v>
      </c>
      <c r="I1297" t="s">
        <v>15</v>
      </c>
      <c r="J1297" s="1">
        <v>486.73</v>
      </c>
    </row>
    <row r="1298" spans="1:10" x14ac:dyDescent="0.25">
      <c r="A1298" t="str">
        <f>"07/20/20"</f>
        <v>07/20/20</v>
      </c>
      <c r="B1298" t="s">
        <v>2484</v>
      </c>
      <c r="C1298" t="str">
        <f>"OF E4"</f>
        <v>OF E4</v>
      </c>
      <c r="D1298" t="str">
        <f>"2487 "</f>
        <v xml:space="preserve">2487 </v>
      </c>
      <c r="E1298" t="str">
        <f>"053 "</f>
        <v xml:space="preserve">053 </v>
      </c>
      <c r="F1298" t="s">
        <v>2487</v>
      </c>
      <c r="G1298" s="1">
        <v>300</v>
      </c>
      <c r="H1298" t="s">
        <v>14</v>
      </c>
      <c r="I1298" t="s">
        <v>15</v>
      </c>
      <c r="J1298" s="1">
        <v>592.54999999999995</v>
      </c>
    </row>
    <row r="1299" spans="1:10" x14ac:dyDescent="0.25">
      <c r="A1299" t="str">
        <f>"07/20/20"</f>
        <v>07/20/20</v>
      </c>
      <c r="B1299" t="s">
        <v>2488</v>
      </c>
      <c r="C1299" t="str">
        <f>"21229"</f>
        <v>21229</v>
      </c>
      <c r="D1299" t="str">
        <f>"2535 "</f>
        <v xml:space="preserve">2535 </v>
      </c>
      <c r="E1299" t="str">
        <f>"027 "</f>
        <v xml:space="preserve">027 </v>
      </c>
      <c r="F1299" t="s">
        <v>2489</v>
      </c>
      <c r="G1299" s="1">
        <v>30600</v>
      </c>
      <c r="H1299" t="s">
        <v>14</v>
      </c>
      <c r="I1299" t="s">
        <v>15</v>
      </c>
      <c r="J1299" s="1">
        <v>116009.78</v>
      </c>
    </row>
    <row r="1300" spans="1:10" x14ac:dyDescent="0.25">
      <c r="A1300" t="str">
        <f>"07/20/20"</f>
        <v>07/20/20</v>
      </c>
      <c r="B1300" t="s">
        <v>2490</v>
      </c>
      <c r="C1300" t="str">
        <f>"21215"</f>
        <v>21215</v>
      </c>
      <c r="D1300" t="str">
        <f>"2959B"</f>
        <v>2959B</v>
      </c>
      <c r="E1300" t="str">
        <f>"108 "</f>
        <v xml:space="preserve">108 </v>
      </c>
      <c r="F1300" t="s">
        <v>2491</v>
      </c>
      <c r="G1300" s="1">
        <v>500</v>
      </c>
      <c r="H1300" t="s">
        <v>14</v>
      </c>
      <c r="I1300" t="s">
        <v>15</v>
      </c>
      <c r="J1300" s="1">
        <v>1709.64</v>
      </c>
    </row>
    <row r="1301" spans="1:10" x14ac:dyDescent="0.25">
      <c r="A1301" t="str">
        <f>"07/20/20"</f>
        <v>07/20/20</v>
      </c>
      <c r="B1301" t="s">
        <v>2492</v>
      </c>
      <c r="C1301" t="str">
        <f>"21215"</f>
        <v>21215</v>
      </c>
      <c r="D1301" t="str">
        <f>"2959B"</f>
        <v>2959B</v>
      </c>
      <c r="E1301" t="str">
        <f>"169 "</f>
        <v xml:space="preserve">169 </v>
      </c>
      <c r="F1301" t="s">
        <v>2493</v>
      </c>
      <c r="G1301" s="1">
        <v>200</v>
      </c>
      <c r="H1301" t="s">
        <v>14</v>
      </c>
      <c r="I1301" t="s">
        <v>15</v>
      </c>
      <c r="J1301" s="1">
        <v>656.38</v>
      </c>
    </row>
    <row r="1302" spans="1:10" x14ac:dyDescent="0.25">
      <c r="A1302" t="str">
        <f>"07/20/20"</f>
        <v>07/20/20</v>
      </c>
      <c r="B1302" t="s">
        <v>2494</v>
      </c>
      <c r="C1302" t="str">
        <f>"21212"</f>
        <v>21212</v>
      </c>
      <c r="D1302" t="str">
        <f>"5053A"</f>
        <v>5053A</v>
      </c>
      <c r="E1302" t="str">
        <f>"027 "</f>
        <v xml:space="preserve">027 </v>
      </c>
      <c r="F1302" t="s">
        <v>2495</v>
      </c>
      <c r="G1302" s="1">
        <v>127400</v>
      </c>
      <c r="H1302" t="s">
        <v>14</v>
      </c>
      <c r="I1302" t="s">
        <v>34</v>
      </c>
      <c r="J1302" s="1">
        <v>13671.62</v>
      </c>
    </row>
    <row r="1303" spans="1:10" x14ac:dyDescent="0.25">
      <c r="A1303" t="str">
        <f>"07/20/20"</f>
        <v>07/20/20</v>
      </c>
      <c r="B1303" t="s">
        <v>2496</v>
      </c>
      <c r="C1303" t="str">
        <f>"21225"</f>
        <v>21225</v>
      </c>
      <c r="D1303" t="str">
        <f>"7081 "</f>
        <v xml:space="preserve">7081 </v>
      </c>
      <c r="E1303" t="str">
        <f>"023 "</f>
        <v xml:space="preserve">023 </v>
      </c>
      <c r="F1303" t="s">
        <v>2497</v>
      </c>
      <c r="G1303" s="1">
        <v>4000</v>
      </c>
      <c r="H1303" t="s">
        <v>14</v>
      </c>
      <c r="I1303" t="s">
        <v>15</v>
      </c>
      <c r="J1303" s="1">
        <v>75134.399999999994</v>
      </c>
    </row>
    <row r="1304" spans="1:10" x14ac:dyDescent="0.25">
      <c r="A1304" t="str">
        <f>"07/20/20"</f>
        <v>07/20/20</v>
      </c>
      <c r="B1304" t="s">
        <v>2498</v>
      </c>
      <c r="C1304" t="str">
        <f>"21225"</f>
        <v>21225</v>
      </c>
      <c r="D1304" t="str">
        <f>"7081 "</f>
        <v xml:space="preserve">7081 </v>
      </c>
      <c r="E1304" t="str">
        <f>"022 "</f>
        <v xml:space="preserve">022 </v>
      </c>
      <c r="F1304" t="s">
        <v>2499</v>
      </c>
      <c r="G1304" s="1">
        <v>4000</v>
      </c>
      <c r="H1304" t="s">
        <v>14</v>
      </c>
      <c r="I1304" t="s">
        <v>15</v>
      </c>
      <c r="J1304" s="1">
        <v>14143.91</v>
      </c>
    </row>
    <row r="1305" spans="1:10" x14ac:dyDescent="0.25">
      <c r="A1305" t="str">
        <f>"07/20/20"</f>
        <v>07/20/20</v>
      </c>
      <c r="B1305" t="s">
        <v>2500</v>
      </c>
      <c r="C1305" t="str">
        <f>"21218"</f>
        <v>21218</v>
      </c>
      <c r="D1305" t="str">
        <f>"4005 "</f>
        <v xml:space="preserve">4005 </v>
      </c>
      <c r="E1305" t="str">
        <f>"047 "</f>
        <v xml:space="preserve">047 </v>
      </c>
      <c r="F1305" t="s">
        <v>2501</v>
      </c>
      <c r="G1305" s="1">
        <v>1000</v>
      </c>
      <c r="H1305" t="s">
        <v>33</v>
      </c>
      <c r="I1305" t="s">
        <v>15</v>
      </c>
      <c r="J1305" s="1">
        <v>140412.1</v>
      </c>
    </row>
    <row r="1306" spans="1:10" x14ac:dyDescent="0.25">
      <c r="A1306" t="str">
        <f>"07/20/20"</f>
        <v>07/20/20</v>
      </c>
      <c r="B1306" t="s">
        <v>2502</v>
      </c>
      <c r="C1306" t="str">
        <f>"21218"</f>
        <v>21218</v>
      </c>
      <c r="D1306" t="str">
        <f>"4005 "</f>
        <v xml:space="preserve">4005 </v>
      </c>
      <c r="E1306" t="str">
        <f>"045 "</f>
        <v xml:space="preserve">045 </v>
      </c>
      <c r="F1306" t="s">
        <v>2503</v>
      </c>
      <c r="G1306" s="1">
        <v>1000</v>
      </c>
      <c r="H1306" t="s">
        <v>33</v>
      </c>
      <c r="I1306" t="s">
        <v>15</v>
      </c>
      <c r="J1306" s="1">
        <v>166216.32999999999</v>
      </c>
    </row>
    <row r="1307" spans="1:10" x14ac:dyDescent="0.25">
      <c r="A1307" t="str">
        <f>"07/20/20"</f>
        <v>07/20/20</v>
      </c>
      <c r="B1307" t="s">
        <v>2504</v>
      </c>
      <c r="C1307" t="str">
        <f>"21218"</f>
        <v>21218</v>
      </c>
      <c r="D1307" t="str">
        <f>"4019 "</f>
        <v xml:space="preserve">4019 </v>
      </c>
      <c r="E1307" t="str">
        <f>"035 "</f>
        <v xml:space="preserve">035 </v>
      </c>
      <c r="F1307" t="s">
        <v>937</v>
      </c>
      <c r="G1307" s="1">
        <v>1000</v>
      </c>
      <c r="H1307" t="s">
        <v>33</v>
      </c>
      <c r="I1307" t="s">
        <v>15</v>
      </c>
      <c r="J1307" s="1">
        <v>71045.070000000007</v>
      </c>
    </row>
    <row r="1308" spans="1:10" x14ac:dyDescent="0.25">
      <c r="A1308" t="str">
        <f>"07/20/20"</f>
        <v>07/20/20</v>
      </c>
      <c r="B1308" t="s">
        <v>2505</v>
      </c>
      <c r="C1308" t="str">
        <f>"21218"</f>
        <v>21218</v>
      </c>
      <c r="D1308" t="str">
        <f>"4024 "</f>
        <v xml:space="preserve">4024 </v>
      </c>
      <c r="E1308" t="str">
        <f>"009 "</f>
        <v xml:space="preserve">009 </v>
      </c>
      <c r="F1308" t="s">
        <v>2506</v>
      </c>
      <c r="G1308" s="1">
        <v>17000</v>
      </c>
      <c r="H1308" t="s">
        <v>33</v>
      </c>
      <c r="I1308" t="s">
        <v>34</v>
      </c>
      <c r="J1308" s="1">
        <v>8935.3700000000008</v>
      </c>
    </row>
    <row r="1309" spans="1:10" x14ac:dyDescent="0.25">
      <c r="A1309" t="str">
        <f>"07/20/20"</f>
        <v>07/20/20</v>
      </c>
      <c r="B1309" t="s">
        <v>2507</v>
      </c>
      <c r="C1309" t="str">
        <f>"21218"</f>
        <v>21218</v>
      </c>
      <c r="D1309" t="str">
        <f>"3827 "</f>
        <v xml:space="preserve">3827 </v>
      </c>
      <c r="E1309" t="str">
        <f>"066 "</f>
        <v xml:space="preserve">066 </v>
      </c>
      <c r="F1309" t="s">
        <v>2508</v>
      </c>
      <c r="G1309" s="1">
        <v>1000</v>
      </c>
      <c r="H1309" t="s">
        <v>30</v>
      </c>
      <c r="I1309" t="s">
        <v>15</v>
      </c>
      <c r="J1309" s="1">
        <v>113626.27</v>
      </c>
    </row>
    <row r="1310" spans="1:10" x14ac:dyDescent="0.25">
      <c r="A1310" t="str">
        <f>"07/20/20"</f>
        <v>07/20/20</v>
      </c>
      <c r="B1310" t="s">
        <v>2509</v>
      </c>
      <c r="C1310" t="str">
        <f>"21213"</f>
        <v>21213</v>
      </c>
      <c r="D1310" t="str">
        <f>"4166C"</f>
        <v>4166C</v>
      </c>
      <c r="E1310" t="str">
        <f>"004 "</f>
        <v xml:space="preserve">004 </v>
      </c>
      <c r="F1310" t="s">
        <v>2510</v>
      </c>
      <c r="G1310" s="1">
        <v>28000</v>
      </c>
      <c r="H1310" t="s">
        <v>33</v>
      </c>
      <c r="I1310" t="s">
        <v>15</v>
      </c>
      <c r="J1310" s="1">
        <v>12356.69</v>
      </c>
    </row>
    <row r="1311" spans="1:10" x14ac:dyDescent="0.25">
      <c r="A1311" t="str">
        <f>"07/20/20"</f>
        <v>07/20/20</v>
      </c>
      <c r="B1311" t="s">
        <v>2511</v>
      </c>
      <c r="C1311" t="str">
        <f>"21218"</f>
        <v>21218</v>
      </c>
      <c r="D1311" t="str">
        <f>"3836B"</f>
        <v>3836B</v>
      </c>
      <c r="E1311" t="str">
        <f>"017 "</f>
        <v xml:space="preserve">017 </v>
      </c>
      <c r="F1311" t="s">
        <v>2512</v>
      </c>
      <c r="G1311" s="1">
        <v>3200</v>
      </c>
      <c r="H1311" t="s">
        <v>33</v>
      </c>
      <c r="I1311" t="s">
        <v>15</v>
      </c>
      <c r="J1311" s="1">
        <v>64493.24</v>
      </c>
    </row>
    <row r="1312" spans="1:10" x14ac:dyDescent="0.25">
      <c r="A1312" t="str">
        <f>"07/20/20"</f>
        <v>07/20/20</v>
      </c>
      <c r="B1312" t="s">
        <v>2513</v>
      </c>
      <c r="C1312" t="str">
        <f>"21218"</f>
        <v>21218</v>
      </c>
      <c r="D1312" t="str">
        <f>"3836B"</f>
        <v>3836B</v>
      </c>
      <c r="E1312" t="str">
        <f>"016 "</f>
        <v xml:space="preserve">016 </v>
      </c>
      <c r="F1312" t="s">
        <v>2514</v>
      </c>
      <c r="G1312" s="1">
        <v>3300</v>
      </c>
      <c r="H1312" t="s">
        <v>33</v>
      </c>
      <c r="I1312" t="s">
        <v>15</v>
      </c>
      <c r="J1312" s="1">
        <v>159027.76999999999</v>
      </c>
    </row>
    <row r="1313" spans="1:10" x14ac:dyDescent="0.25">
      <c r="A1313" t="str">
        <f>"07/20/20"</f>
        <v>07/20/20</v>
      </c>
      <c r="B1313" t="s">
        <v>2515</v>
      </c>
      <c r="C1313" t="str">
        <f>"21218"</f>
        <v>21218</v>
      </c>
      <c r="D1313" t="str">
        <f>"3986C"</f>
        <v>3986C</v>
      </c>
      <c r="E1313" t="str">
        <f>"001 "</f>
        <v xml:space="preserve">001 </v>
      </c>
      <c r="F1313" t="s">
        <v>2516</v>
      </c>
      <c r="G1313" s="1">
        <v>0</v>
      </c>
      <c r="H1313" t="s">
        <v>248</v>
      </c>
      <c r="I1313" t="s">
        <v>15</v>
      </c>
      <c r="J1313" s="1">
        <v>747748.99</v>
      </c>
    </row>
    <row r="1314" spans="1:10" x14ac:dyDescent="0.25">
      <c r="A1314" t="str">
        <f>"07/20/20"</f>
        <v>07/20/20</v>
      </c>
      <c r="B1314" t="s">
        <v>2517</v>
      </c>
      <c r="C1314" t="str">
        <f>"21211"</f>
        <v>21211</v>
      </c>
      <c r="D1314" t="str">
        <f>"3523 "</f>
        <v xml:space="preserve">3523 </v>
      </c>
      <c r="E1314" t="str">
        <f>"038 "</f>
        <v xml:space="preserve">038 </v>
      </c>
      <c r="F1314" t="s">
        <v>2518</v>
      </c>
      <c r="G1314" s="1">
        <v>126600</v>
      </c>
      <c r="H1314" t="s">
        <v>14</v>
      </c>
      <c r="I1314" t="s">
        <v>15</v>
      </c>
      <c r="J1314" s="1">
        <v>140045.69</v>
      </c>
    </row>
    <row r="1315" spans="1:10" x14ac:dyDescent="0.25">
      <c r="A1315" t="str">
        <f>"07/20/20"</f>
        <v>07/20/20</v>
      </c>
      <c r="B1315" t="s">
        <v>2519</v>
      </c>
      <c r="C1315" t="str">
        <f>"21225"</f>
        <v>21225</v>
      </c>
      <c r="D1315" t="str">
        <f>"7075 "</f>
        <v xml:space="preserve">7075 </v>
      </c>
      <c r="E1315" t="str">
        <f>"054 "</f>
        <v xml:space="preserve">054 </v>
      </c>
      <c r="F1315" t="s">
        <v>2520</v>
      </c>
      <c r="G1315" s="1">
        <v>19000</v>
      </c>
      <c r="H1315" t="s">
        <v>30</v>
      </c>
      <c r="I1315" t="s">
        <v>34</v>
      </c>
      <c r="J1315" s="1">
        <v>18945.27</v>
      </c>
    </row>
    <row r="1316" spans="1:10" x14ac:dyDescent="0.25">
      <c r="A1316" t="str">
        <f>"07/20/20"</f>
        <v>07/20/20</v>
      </c>
      <c r="B1316" t="s">
        <v>2521</v>
      </c>
      <c r="C1316" t="str">
        <f>"21225"</f>
        <v>21225</v>
      </c>
      <c r="D1316" t="str">
        <f>"7075 "</f>
        <v xml:space="preserve">7075 </v>
      </c>
      <c r="E1316" t="str">
        <f>"048 "</f>
        <v xml:space="preserve">048 </v>
      </c>
      <c r="F1316" t="s">
        <v>2522</v>
      </c>
      <c r="G1316" s="1">
        <v>40000</v>
      </c>
      <c r="H1316" t="s">
        <v>30</v>
      </c>
      <c r="I1316" t="s">
        <v>34</v>
      </c>
      <c r="J1316" s="1">
        <v>7957.2</v>
      </c>
    </row>
    <row r="1317" spans="1:10" x14ac:dyDescent="0.25">
      <c r="A1317" t="str">
        <f>"07/20/20"</f>
        <v>07/20/20</v>
      </c>
      <c r="B1317" t="s">
        <v>2523</v>
      </c>
      <c r="C1317" t="str">
        <f>"21212"</f>
        <v>21212</v>
      </c>
      <c r="D1317" t="str">
        <f>"5203A"</f>
        <v>5203A</v>
      </c>
      <c r="E1317" t="str">
        <f>"005 "</f>
        <v xml:space="preserve">005 </v>
      </c>
      <c r="F1317" t="s">
        <v>2524</v>
      </c>
      <c r="G1317" s="1">
        <v>11200</v>
      </c>
      <c r="H1317" t="s">
        <v>137</v>
      </c>
      <c r="I1317" t="s">
        <v>15</v>
      </c>
      <c r="J1317" s="1">
        <v>121648.01</v>
      </c>
    </row>
    <row r="1318" spans="1:10" x14ac:dyDescent="0.25">
      <c r="A1318" t="str">
        <f>"07/20/20"</f>
        <v>07/20/20</v>
      </c>
      <c r="B1318" t="s">
        <v>2525</v>
      </c>
      <c r="C1318" t="str">
        <f>"21225"</f>
        <v>21225</v>
      </c>
      <c r="D1318" t="str">
        <f>"7076 "</f>
        <v xml:space="preserve">7076 </v>
      </c>
      <c r="E1318" t="str">
        <f>"017 "</f>
        <v xml:space="preserve">017 </v>
      </c>
      <c r="F1318" t="s">
        <v>1051</v>
      </c>
      <c r="G1318" s="1">
        <v>4000</v>
      </c>
      <c r="H1318" t="s">
        <v>161</v>
      </c>
      <c r="I1318" t="s">
        <v>15</v>
      </c>
      <c r="J1318" s="1">
        <v>9528.33</v>
      </c>
    </row>
    <row r="1319" spans="1:10" x14ac:dyDescent="0.25">
      <c r="A1319" t="str">
        <f>"07/20/20"</f>
        <v>07/20/20</v>
      </c>
      <c r="B1319" t="s">
        <v>2526</v>
      </c>
      <c r="C1319" t="str">
        <f>"21225"</f>
        <v>21225</v>
      </c>
      <c r="D1319" t="str">
        <f>"7133 "</f>
        <v xml:space="preserve">7133 </v>
      </c>
      <c r="E1319" t="str">
        <f>"006 "</f>
        <v xml:space="preserve">006 </v>
      </c>
      <c r="F1319" t="s">
        <v>2527</v>
      </c>
      <c r="G1319" s="1">
        <v>53300</v>
      </c>
      <c r="H1319" t="s">
        <v>14</v>
      </c>
      <c r="I1319" t="s">
        <v>15</v>
      </c>
      <c r="J1319" s="1">
        <v>107147.59</v>
      </c>
    </row>
    <row r="1320" spans="1:10" x14ac:dyDescent="0.25">
      <c r="A1320" t="str">
        <f>"07/20/20"</f>
        <v>07/20/20</v>
      </c>
      <c r="B1320" t="s">
        <v>2528</v>
      </c>
      <c r="C1320" t="str">
        <f>"21226"</f>
        <v>21226</v>
      </c>
      <c r="D1320" t="str">
        <f>"7369 "</f>
        <v xml:space="preserve">7369 </v>
      </c>
      <c r="E1320" t="str">
        <f>"004 "</f>
        <v xml:space="preserve">004 </v>
      </c>
      <c r="F1320" t="s">
        <v>2529</v>
      </c>
      <c r="G1320" s="1">
        <v>57500</v>
      </c>
      <c r="H1320" t="s">
        <v>2530</v>
      </c>
      <c r="I1320" t="s">
        <v>15</v>
      </c>
      <c r="J1320" s="1">
        <v>11777.2</v>
      </c>
    </row>
    <row r="1321" spans="1:10" x14ac:dyDescent="0.25">
      <c r="A1321" t="str">
        <f>"07/20/20"</f>
        <v>07/20/20</v>
      </c>
      <c r="B1321" t="s">
        <v>2531</v>
      </c>
      <c r="C1321" t="str">
        <f>"21225"</f>
        <v>21225</v>
      </c>
      <c r="D1321" t="str">
        <f>"7116 "</f>
        <v xml:space="preserve">7116 </v>
      </c>
      <c r="E1321" t="str">
        <f>"028 "</f>
        <v xml:space="preserve">028 </v>
      </c>
      <c r="F1321" t="s">
        <v>2532</v>
      </c>
      <c r="G1321" s="1">
        <v>18700</v>
      </c>
      <c r="H1321" t="s">
        <v>14</v>
      </c>
      <c r="I1321" t="s">
        <v>34</v>
      </c>
      <c r="J1321" s="1">
        <v>10639.98</v>
      </c>
    </row>
    <row r="1322" spans="1:10" x14ac:dyDescent="0.25">
      <c r="A1322" t="str">
        <f>"07/20/20"</f>
        <v>07/20/20</v>
      </c>
      <c r="B1322" t="s">
        <v>2533</v>
      </c>
      <c r="C1322" t="str">
        <f>"21225"</f>
        <v>21225</v>
      </c>
      <c r="D1322" t="str">
        <f>"7095A"</f>
        <v>7095A</v>
      </c>
      <c r="E1322" t="str">
        <f>"152 "</f>
        <v xml:space="preserve">152 </v>
      </c>
      <c r="F1322" t="s">
        <v>2534</v>
      </c>
      <c r="G1322" s="1">
        <v>40000</v>
      </c>
      <c r="H1322" t="s">
        <v>14</v>
      </c>
      <c r="I1322" t="s">
        <v>34</v>
      </c>
      <c r="J1322" s="1">
        <v>21319.25</v>
      </c>
    </row>
    <row r="1323" spans="1:10" x14ac:dyDescent="0.25">
      <c r="A1323" t="str">
        <f>"07/20/20"</f>
        <v>07/20/20</v>
      </c>
      <c r="B1323" t="s">
        <v>2535</v>
      </c>
      <c r="C1323" t="str">
        <f>"21225"</f>
        <v>21225</v>
      </c>
      <c r="D1323" t="str">
        <f>"7095A"</f>
        <v>7095A</v>
      </c>
      <c r="E1323" t="str">
        <f>"139 "</f>
        <v xml:space="preserve">139 </v>
      </c>
      <c r="F1323" t="s">
        <v>2536</v>
      </c>
      <c r="G1323" s="1">
        <v>40000</v>
      </c>
      <c r="H1323" t="s">
        <v>14</v>
      </c>
      <c r="I1323" t="s">
        <v>15</v>
      </c>
      <c r="J1323" s="1">
        <v>35177.760000000002</v>
      </c>
    </row>
    <row r="1324" spans="1:10" x14ac:dyDescent="0.25">
      <c r="A1324" t="str">
        <f>"07/20/20"</f>
        <v>07/20/20</v>
      </c>
      <c r="B1324" t="s">
        <v>2537</v>
      </c>
      <c r="C1324" t="str">
        <f>"21225"</f>
        <v>21225</v>
      </c>
      <c r="D1324" t="str">
        <f>"7095A"</f>
        <v>7095A</v>
      </c>
      <c r="E1324" t="str">
        <f>"120 "</f>
        <v xml:space="preserve">120 </v>
      </c>
      <c r="F1324" t="s">
        <v>2538</v>
      </c>
      <c r="G1324" s="1">
        <v>40000</v>
      </c>
      <c r="H1324" t="s">
        <v>14</v>
      </c>
      <c r="I1324" t="s">
        <v>15</v>
      </c>
      <c r="J1324" s="1">
        <v>12864.84</v>
      </c>
    </row>
    <row r="1325" spans="1:10" x14ac:dyDescent="0.25">
      <c r="A1325" t="str">
        <f>"07/20/20"</f>
        <v>07/20/20</v>
      </c>
      <c r="B1325" t="s">
        <v>2539</v>
      </c>
      <c r="C1325" t="str">
        <f>"21225"</f>
        <v>21225</v>
      </c>
      <c r="D1325" t="str">
        <f>"7095A"</f>
        <v>7095A</v>
      </c>
      <c r="E1325" t="str">
        <f>"137 "</f>
        <v xml:space="preserve">137 </v>
      </c>
      <c r="F1325" t="s">
        <v>2540</v>
      </c>
      <c r="G1325" s="1">
        <v>19000</v>
      </c>
      <c r="H1325" t="s">
        <v>14</v>
      </c>
      <c r="I1325" t="s">
        <v>15</v>
      </c>
      <c r="J1325" s="1">
        <v>11891.13</v>
      </c>
    </row>
    <row r="1326" spans="1:10" x14ac:dyDescent="0.25">
      <c r="A1326" t="str">
        <f>"07/20/20"</f>
        <v>07/20/20</v>
      </c>
      <c r="B1326" t="s">
        <v>2541</v>
      </c>
      <c r="C1326" t="str">
        <f>"21225"</f>
        <v>21225</v>
      </c>
      <c r="D1326" t="str">
        <f>"7087 "</f>
        <v xml:space="preserve">7087 </v>
      </c>
      <c r="E1326" t="str">
        <f>"034 "</f>
        <v xml:space="preserve">034 </v>
      </c>
      <c r="F1326" t="s">
        <v>2542</v>
      </c>
      <c r="G1326" s="1">
        <v>19000</v>
      </c>
      <c r="H1326" t="s">
        <v>14</v>
      </c>
      <c r="I1326" t="s">
        <v>34</v>
      </c>
      <c r="J1326" s="1">
        <v>16088.49</v>
      </c>
    </row>
  </sheetData>
  <sortState ref="A1051:K1326">
    <sortCondition ref="A1051"/>
  </sortState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332997F89694C8A327C72F3B941ED" ma:contentTypeVersion="11" ma:contentTypeDescription="Create a new document." ma:contentTypeScope="" ma:versionID="771ed9d6ea43f8f35363ee98e698a1d1">
  <xsd:schema xmlns:xsd="http://www.w3.org/2001/XMLSchema" xmlns:xs="http://www.w3.org/2001/XMLSchema" xmlns:p="http://schemas.microsoft.com/office/2006/metadata/properties" xmlns:ns3="c65163d3-8eec-4499-bf9d-9270ec1dc707" xmlns:ns4="efb5de7d-cc74-45df-885a-321d5a532ebc" targetNamespace="http://schemas.microsoft.com/office/2006/metadata/properties" ma:root="true" ma:fieldsID="f400437a643b13cdc0c74cab5d9470da" ns3:_="" ns4:_="">
    <xsd:import namespace="c65163d3-8eec-4499-bf9d-9270ec1dc707"/>
    <xsd:import namespace="efb5de7d-cc74-45df-885a-321d5a532e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163d3-8eec-4499-bf9d-9270ec1dc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5de7d-cc74-45df-885a-321d5a532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FB26F-95DC-490D-AE0A-BC24BD0F8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5163d3-8eec-4499-bf9d-9270ec1dc707"/>
    <ds:schemaRef ds:uri="efb5de7d-cc74-45df-885a-321d5a532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0E3410-84A8-4EAD-B6B4-68B42A7C3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1E725-B208-48A1-AB31-25BCE27EA65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efb5de7d-cc74-45df-885a-321d5a532eb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65163d3-8eec-4499-bf9d-9270ec1dc7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Anniko, Peter</dc:creator>
  <cp:lastModifiedBy>Jerilyn Saunders</cp:lastModifiedBy>
  <dcterms:created xsi:type="dcterms:W3CDTF">2020-09-15T17:03:30Z</dcterms:created>
  <dcterms:modified xsi:type="dcterms:W3CDTF">2021-03-08T14:14:03Z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0x0101000D1332997F89694C8A327C72F3B941ED</vt:lpwstr>
  </property>
</Properties>
</file>